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Regiono pletros planas\Metines ataskaitos\"/>
    </mc:Choice>
  </mc:AlternateContent>
  <bookViews>
    <workbookView xWindow="0" yWindow="0" windowWidth="28800" windowHeight="11235" firstSheet="1" activeTab="7"/>
  </bookViews>
  <sheets>
    <sheet name="1 lentelė" sheetId="1" r:id="rId1"/>
    <sheet name="2 lentelė" sheetId="2" r:id="rId2"/>
    <sheet name="3 lentelė" sheetId="20" r:id="rId3"/>
    <sheet name="4 lentelė" sheetId="21" r:id="rId4"/>
    <sheet name="5 lentelė" sheetId="22" r:id="rId5"/>
    <sheet name="6 lentelė" sheetId="23" r:id="rId6"/>
    <sheet name="7 lentelė" sheetId="24" r:id="rId7"/>
    <sheet name="8 lentelė" sheetId="13" r:id="rId8"/>
    <sheet name="9 lentelė" sheetId="14" r:id="rId9"/>
    <sheet name="10 lentelė" sheetId="15" r:id="rId10"/>
    <sheet name="Lapas8" sheetId="8" state="hidden" r:id="rId11"/>
  </sheets>
  <definedNames>
    <definedName name="_xlnm._FilterDatabase" localSheetId="4" hidden="1">'5 lentelė'!$Y$7:$BG$144</definedName>
    <definedName name="_xlnm._FilterDatabase" localSheetId="6" hidden="1">'7 lentelė'!$AC$1:$AC$148</definedName>
    <definedName name="_xlnm.Print_Area" localSheetId="0">'1 lentelė'!$A$1:$M$155</definedName>
    <definedName name="_xlnm.Print_Area" localSheetId="9">'10 lentelė'!$A$1:$N$17</definedName>
    <definedName name="_xlnm.Print_Area" localSheetId="1">'2 lentelė'!$A$1:$T$145</definedName>
    <definedName name="_xlnm.Print_Area" localSheetId="5">'6 lentelė'!$A$1:$X$147</definedName>
    <definedName name="_xlnm.Print_Area" localSheetId="6">'7 lentelė'!$A$1:$X$147</definedName>
    <definedName name="_xlnm.Print_Area" localSheetId="7">'8 lentelė'!$A$1:$K$36</definedName>
    <definedName name="_xlnm.Print_Area" localSheetId="8">'9 lentelė'!$A$1:$F$60</definedName>
  </definedNames>
  <calcPr calcId="152511"/>
</workbook>
</file>

<file path=xl/calcChain.xml><?xml version="1.0" encoding="utf-8"?>
<calcChain xmlns="http://schemas.openxmlformats.org/spreadsheetml/2006/main">
  <c r="V69" i="24" l="1"/>
  <c r="V59" i="24"/>
  <c r="V60" i="24"/>
  <c r="V14" i="24"/>
  <c r="V109" i="24"/>
  <c r="V111" i="24"/>
  <c r="V110" i="24"/>
  <c r="V106" i="24"/>
  <c r="V103" i="24"/>
  <c r="V45" i="24"/>
  <c r="V46" i="24"/>
  <c r="V21" i="24"/>
  <c r="V28" i="24"/>
  <c r="V32" i="24"/>
  <c r="V137" i="24"/>
  <c r="V141" i="24"/>
  <c r="V142" i="24"/>
  <c r="V49" i="24"/>
  <c r="V48" i="24"/>
  <c r="V54" i="24"/>
  <c r="V124" i="24"/>
  <c r="V121" i="24"/>
  <c r="V122" i="24"/>
  <c r="V123" i="24"/>
  <c r="V133" i="24"/>
  <c r="V130" i="24"/>
  <c r="L130" i="24"/>
  <c r="N37" i="24"/>
  <c r="V38" i="24"/>
  <c r="N38" i="24"/>
  <c r="L38" i="24" s="1"/>
  <c r="P74" i="23" l="1"/>
  <c r="T50" i="21"/>
  <c r="T81" i="20"/>
  <c r="T127" i="2" l="1"/>
  <c r="T126" i="2"/>
  <c r="H16" i="15" l="1"/>
  <c r="C16" i="15"/>
  <c r="B16" i="15"/>
  <c r="H15" i="15"/>
  <c r="H14" i="15"/>
  <c r="C14" i="15"/>
  <c r="B14" i="15"/>
  <c r="H13" i="15"/>
  <c r="H10" i="15"/>
  <c r="H9" i="15"/>
  <c r="G15" i="15"/>
  <c r="C15" i="15"/>
  <c r="B15" i="15"/>
  <c r="G13" i="15"/>
  <c r="C13" i="15"/>
  <c r="B13" i="15"/>
  <c r="H12" i="15"/>
  <c r="G12" i="15"/>
  <c r="C12" i="15"/>
  <c r="B12" i="15"/>
  <c r="H11" i="15"/>
  <c r="G11" i="15"/>
  <c r="C11" i="15"/>
  <c r="B11" i="15"/>
  <c r="C10" i="15"/>
  <c r="B10" i="15"/>
  <c r="C9" i="15"/>
  <c r="B9" i="15"/>
  <c r="T137" i="22" l="1"/>
  <c r="T124" i="20"/>
  <c r="T103" i="22"/>
  <c r="T78" i="20"/>
  <c r="T79" i="20"/>
  <c r="T80" i="20"/>
  <c r="T74" i="21"/>
  <c r="T65" i="21"/>
  <c r="T41" i="21"/>
  <c r="T124" i="2"/>
  <c r="T81" i="2" l="1"/>
  <c r="T78" i="2"/>
  <c r="T80" i="2"/>
  <c r="T79" i="2"/>
  <c r="Y85" i="24" l="1"/>
  <c r="Z85" i="24"/>
  <c r="AA85" i="24" s="1"/>
  <c r="Y86" i="24"/>
  <c r="Z86" i="24"/>
  <c r="AA86" i="24" s="1"/>
  <c r="Y87" i="24"/>
  <c r="Z87" i="24"/>
  <c r="AA87" i="24" s="1"/>
  <c r="Y88" i="24"/>
  <c r="Z88" i="24"/>
  <c r="AA88" i="24" s="1"/>
  <c r="Y89" i="24"/>
  <c r="Z89" i="24"/>
  <c r="AA89" i="24" s="1"/>
  <c r="Y90" i="24"/>
  <c r="Z90" i="24"/>
  <c r="AA90" i="24" s="1"/>
  <c r="Y91" i="24"/>
  <c r="Z91" i="24"/>
  <c r="AA91" i="24" s="1"/>
  <c r="Y92" i="24"/>
  <c r="Z92" i="24"/>
  <c r="AA92" i="24" s="1"/>
  <c r="Y93" i="24"/>
  <c r="Z93" i="24"/>
  <c r="AA93" i="24" s="1"/>
  <c r="Y94" i="24"/>
  <c r="Z94" i="24"/>
  <c r="AA94" i="24" s="1"/>
  <c r="Y95" i="24"/>
  <c r="Z95" i="24"/>
  <c r="AA95" i="24" s="1"/>
  <c r="Y96" i="24"/>
  <c r="Z96" i="24"/>
  <c r="AA96" i="24" s="1"/>
  <c r="Y97" i="24"/>
  <c r="Z97" i="24"/>
  <c r="AA97" i="24" s="1"/>
  <c r="Y98" i="24"/>
  <c r="Z98" i="24"/>
  <c r="AA98" i="24" s="1"/>
  <c r="Y99" i="24"/>
  <c r="Z99" i="24"/>
  <c r="AA99" i="24" s="1"/>
  <c r="Y100" i="24"/>
  <c r="Z100" i="24"/>
  <c r="AA100" i="24" s="1"/>
  <c r="Y80" i="24"/>
  <c r="Z80" i="24"/>
  <c r="AA80" i="24" s="1"/>
  <c r="Y81" i="24"/>
  <c r="Z81" i="24"/>
  <c r="AA81" i="24" s="1"/>
  <c r="Y82" i="24"/>
  <c r="Z82" i="24"/>
  <c r="AA82" i="24" s="1"/>
  <c r="K85" i="24"/>
  <c r="L85" i="24"/>
  <c r="K86" i="24"/>
  <c r="L86" i="24"/>
  <c r="K87" i="24"/>
  <c r="L87" i="24"/>
  <c r="K88" i="24"/>
  <c r="L88" i="24"/>
  <c r="K89" i="24"/>
  <c r="L89" i="24"/>
  <c r="K90" i="24"/>
  <c r="L90" i="24"/>
  <c r="K91" i="24"/>
  <c r="L91" i="24"/>
  <c r="K92" i="24"/>
  <c r="L92" i="24"/>
  <c r="K93" i="24"/>
  <c r="L93" i="24"/>
  <c r="K94" i="24"/>
  <c r="L94" i="24"/>
  <c r="K95" i="24"/>
  <c r="L95" i="24"/>
  <c r="K96" i="24"/>
  <c r="L96" i="24"/>
  <c r="K97" i="24"/>
  <c r="L97" i="24"/>
  <c r="K98" i="24"/>
  <c r="L98" i="24"/>
  <c r="K99" i="24"/>
  <c r="L99" i="24"/>
  <c r="K100" i="24"/>
  <c r="L100" i="24"/>
  <c r="L84" i="24"/>
  <c r="K84" i="24"/>
  <c r="K80" i="24"/>
  <c r="L80" i="24"/>
  <c r="K81" i="24"/>
  <c r="L81" i="24"/>
  <c r="K82" i="24"/>
  <c r="L82" i="24"/>
  <c r="L79" i="24"/>
  <c r="K79" i="24"/>
  <c r="L121" i="23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83" i="21"/>
  <c r="K79" i="21"/>
  <c r="K80" i="21"/>
  <c r="K81" i="21"/>
  <c r="K78" i="21"/>
  <c r="K75" i="21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83" i="20"/>
  <c r="K79" i="20"/>
  <c r="K80" i="20"/>
  <c r="K81" i="20"/>
  <c r="K78" i="20"/>
  <c r="K73" i="20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83" i="2"/>
  <c r="K79" i="2"/>
  <c r="K80" i="2"/>
  <c r="K81" i="2"/>
  <c r="K78" i="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83" i="22"/>
  <c r="K79" i="22"/>
  <c r="K80" i="22"/>
  <c r="K81" i="22"/>
  <c r="K78" i="22"/>
  <c r="K85" i="23"/>
  <c r="L85" i="23"/>
  <c r="K86" i="23"/>
  <c r="L86" i="23"/>
  <c r="K87" i="23"/>
  <c r="L87" i="23"/>
  <c r="K88" i="23"/>
  <c r="L88" i="23"/>
  <c r="K89" i="23"/>
  <c r="L89" i="23"/>
  <c r="K90" i="23"/>
  <c r="L90" i="23"/>
  <c r="K91" i="23"/>
  <c r="L91" i="23"/>
  <c r="K92" i="23"/>
  <c r="L92" i="23"/>
  <c r="K93" i="23"/>
  <c r="L93" i="23"/>
  <c r="K94" i="23"/>
  <c r="L94" i="23"/>
  <c r="K95" i="23"/>
  <c r="L95" i="23"/>
  <c r="K96" i="23"/>
  <c r="L96" i="23"/>
  <c r="K97" i="23"/>
  <c r="L97" i="23"/>
  <c r="K98" i="23"/>
  <c r="L98" i="23"/>
  <c r="K99" i="23"/>
  <c r="L99" i="23"/>
  <c r="K100" i="23"/>
  <c r="L100" i="23"/>
  <c r="L84" i="23"/>
  <c r="K84" i="23"/>
  <c r="Y79" i="23"/>
  <c r="Y80" i="23"/>
  <c r="Y81" i="23"/>
  <c r="Y82" i="23"/>
  <c r="Y84" i="23"/>
  <c r="Y85" i="23"/>
  <c r="Y86" i="23"/>
  <c r="Y87" i="23"/>
  <c r="Y88" i="23"/>
  <c r="Y89" i="23"/>
  <c r="Y90" i="23"/>
  <c r="Y91" i="23"/>
  <c r="Y92" i="23"/>
  <c r="Y93" i="23"/>
  <c r="Y94" i="23"/>
  <c r="Y95" i="23"/>
  <c r="Y96" i="23"/>
  <c r="Y97" i="23"/>
  <c r="Y98" i="23"/>
  <c r="Y99" i="23"/>
  <c r="Y100" i="23"/>
  <c r="K80" i="23"/>
  <c r="K81" i="23"/>
  <c r="K82" i="23"/>
  <c r="L82" i="23"/>
  <c r="K79" i="23"/>
  <c r="AE126" i="22"/>
  <c r="AE81" i="22"/>
  <c r="AE80" i="22"/>
  <c r="AE79" i="22"/>
  <c r="AE78" i="22"/>
  <c r="P143" i="22"/>
  <c r="O143" i="22"/>
  <c r="N143" i="22"/>
  <c r="K142" i="22"/>
  <c r="K141" i="22"/>
  <c r="K140" i="22"/>
  <c r="K139" i="22"/>
  <c r="K138" i="22"/>
  <c r="K137" i="22"/>
  <c r="K136" i="22"/>
  <c r="K132" i="22"/>
  <c r="K129" i="22"/>
  <c r="K127" i="22"/>
  <c r="K126" i="22"/>
  <c r="K125" i="22"/>
  <c r="K124" i="22"/>
  <c r="K123" i="22"/>
  <c r="K122" i="22"/>
  <c r="K121" i="22"/>
  <c r="K120" i="22"/>
  <c r="K115" i="22"/>
  <c r="K114" i="22"/>
  <c r="K110" i="22"/>
  <c r="K109" i="22"/>
  <c r="K108" i="22"/>
  <c r="K107" i="22"/>
  <c r="K105" i="22"/>
  <c r="K104" i="22"/>
  <c r="K103" i="22"/>
  <c r="K102" i="22"/>
  <c r="M76" i="22"/>
  <c r="L76" i="22" s="1"/>
  <c r="K76" i="22" s="1"/>
  <c r="M75" i="22"/>
  <c r="L75" i="22" s="1"/>
  <c r="K75" i="22" s="1"/>
  <c r="M74" i="22"/>
  <c r="L74" i="22" s="1"/>
  <c r="K74" i="22" s="1"/>
  <c r="M73" i="22"/>
  <c r="L73" i="22" s="1"/>
  <c r="K73" i="22" s="1"/>
  <c r="L70" i="22"/>
  <c r="M70" i="22" s="1"/>
  <c r="K70" i="22" s="1"/>
  <c r="K69" i="22"/>
  <c r="K68" i="22"/>
  <c r="K66" i="22"/>
  <c r="K65" i="22"/>
  <c r="K64" i="22"/>
  <c r="K63" i="22"/>
  <c r="K61" i="22"/>
  <c r="K60" i="22"/>
  <c r="L59" i="22"/>
  <c r="K58" i="22"/>
  <c r="K53" i="22"/>
  <c r="K50" i="22"/>
  <c r="K49" i="22"/>
  <c r="K48" i="22"/>
  <c r="K47" i="22"/>
  <c r="K45" i="22"/>
  <c r="K44" i="22"/>
  <c r="K41" i="22"/>
  <c r="K39" i="22"/>
  <c r="K38" i="22"/>
  <c r="K37" i="22"/>
  <c r="K36" i="22"/>
  <c r="K34" i="22"/>
  <c r="K33" i="22"/>
  <c r="K31" i="22"/>
  <c r="K30" i="22"/>
  <c r="K29" i="22"/>
  <c r="K28" i="22"/>
  <c r="K27" i="22"/>
  <c r="K20" i="22"/>
  <c r="K18" i="22"/>
  <c r="K16" i="22"/>
  <c r="K15" i="22"/>
  <c r="K13" i="22"/>
  <c r="K12" i="22"/>
  <c r="G34" i="13"/>
  <c r="H34" i="13"/>
  <c r="U84" i="21"/>
  <c r="V84" i="21"/>
  <c r="W84" i="21"/>
  <c r="X84" i="21"/>
  <c r="Y84" i="21"/>
  <c r="U85" i="21"/>
  <c r="V85" i="21"/>
  <c r="W85" i="21"/>
  <c r="X85" i="21"/>
  <c r="Y85" i="21"/>
  <c r="U86" i="21"/>
  <c r="V86" i="21"/>
  <c r="W86" i="21"/>
  <c r="X86" i="21"/>
  <c r="Y86" i="21"/>
  <c r="U87" i="21"/>
  <c r="V87" i="21"/>
  <c r="W87" i="21"/>
  <c r="X87" i="21"/>
  <c r="Y87" i="21"/>
  <c r="U88" i="21"/>
  <c r="V88" i="21"/>
  <c r="W88" i="21"/>
  <c r="X88" i="21"/>
  <c r="Y88" i="21"/>
  <c r="U89" i="21"/>
  <c r="V89" i="21"/>
  <c r="W89" i="21"/>
  <c r="X89" i="21"/>
  <c r="Y89" i="21"/>
  <c r="U90" i="21"/>
  <c r="V90" i="21"/>
  <c r="W90" i="21"/>
  <c r="X90" i="21"/>
  <c r="Y90" i="21"/>
  <c r="U91" i="21"/>
  <c r="V91" i="21"/>
  <c r="W91" i="21"/>
  <c r="X91" i="21"/>
  <c r="Y91" i="21"/>
  <c r="U92" i="21"/>
  <c r="V92" i="21"/>
  <c r="W92" i="21"/>
  <c r="X92" i="21"/>
  <c r="Y92" i="21"/>
  <c r="U93" i="21"/>
  <c r="V93" i="21"/>
  <c r="W93" i="21"/>
  <c r="X93" i="21"/>
  <c r="Y93" i="21"/>
  <c r="U94" i="21"/>
  <c r="V94" i="21"/>
  <c r="W94" i="21"/>
  <c r="X94" i="21"/>
  <c r="Y94" i="21"/>
  <c r="U95" i="21"/>
  <c r="V95" i="21"/>
  <c r="W95" i="21"/>
  <c r="X95" i="21"/>
  <c r="Y95" i="21"/>
  <c r="U96" i="21"/>
  <c r="V96" i="21"/>
  <c r="W96" i="21"/>
  <c r="X96" i="21"/>
  <c r="Y96" i="21"/>
  <c r="U97" i="21"/>
  <c r="V97" i="21"/>
  <c r="W97" i="21"/>
  <c r="X97" i="21"/>
  <c r="Y97" i="21"/>
  <c r="U98" i="21"/>
  <c r="V98" i="21"/>
  <c r="W98" i="21"/>
  <c r="X98" i="21"/>
  <c r="Y98" i="21"/>
  <c r="U99" i="21"/>
  <c r="V99" i="21"/>
  <c r="W99" i="21"/>
  <c r="X99" i="21"/>
  <c r="Y99" i="21"/>
  <c r="Y79" i="21"/>
  <c r="Y80" i="21"/>
  <c r="Y81" i="21"/>
  <c r="X79" i="21"/>
  <c r="X80" i="21"/>
  <c r="X81" i="21"/>
  <c r="W79" i="21"/>
  <c r="W80" i="21"/>
  <c r="W81" i="21"/>
  <c r="V79" i="21"/>
  <c r="V80" i="21"/>
  <c r="V81" i="21"/>
  <c r="U79" i="21"/>
  <c r="U80" i="21"/>
  <c r="U81" i="21"/>
  <c r="P143" i="21"/>
  <c r="O143" i="21"/>
  <c r="N143" i="21"/>
  <c r="K142" i="21"/>
  <c r="K141" i="21"/>
  <c r="K140" i="21"/>
  <c r="K139" i="21"/>
  <c r="K138" i="21"/>
  <c r="K137" i="21"/>
  <c r="K136" i="21"/>
  <c r="K132" i="21"/>
  <c r="K129" i="21"/>
  <c r="K127" i="21"/>
  <c r="K126" i="21"/>
  <c r="K125" i="21"/>
  <c r="K124" i="21"/>
  <c r="K123" i="21"/>
  <c r="K122" i="21"/>
  <c r="K121" i="21"/>
  <c r="K120" i="21"/>
  <c r="K115" i="21"/>
  <c r="K114" i="21"/>
  <c r="K110" i="21"/>
  <c r="K109" i="21"/>
  <c r="K108" i="21"/>
  <c r="K107" i="21"/>
  <c r="K105" i="21"/>
  <c r="K104" i="21"/>
  <c r="K103" i="21"/>
  <c r="K102" i="21"/>
  <c r="M76" i="21"/>
  <c r="L76" i="21" s="1"/>
  <c r="K76" i="21" s="1"/>
  <c r="M75" i="21"/>
  <c r="L75" i="21" s="1"/>
  <c r="M74" i="21"/>
  <c r="L74" i="21" s="1"/>
  <c r="K74" i="21" s="1"/>
  <c r="M73" i="21"/>
  <c r="L73" i="21" s="1"/>
  <c r="K73" i="21" s="1"/>
  <c r="L70" i="21"/>
  <c r="M70" i="21" s="1"/>
  <c r="K69" i="21"/>
  <c r="K68" i="21"/>
  <c r="K66" i="21"/>
  <c r="K65" i="21"/>
  <c r="K64" i="21"/>
  <c r="K63" i="21"/>
  <c r="K61" i="21"/>
  <c r="K60" i="21"/>
  <c r="L59" i="21"/>
  <c r="K58" i="21"/>
  <c r="K53" i="21"/>
  <c r="K50" i="21"/>
  <c r="K49" i="21"/>
  <c r="K48" i="21"/>
  <c r="K47" i="21"/>
  <c r="K45" i="21"/>
  <c r="K44" i="21"/>
  <c r="K41" i="21"/>
  <c r="K39" i="21"/>
  <c r="K38" i="21"/>
  <c r="K37" i="21"/>
  <c r="K36" i="21"/>
  <c r="K34" i="21"/>
  <c r="K33" i="21"/>
  <c r="K31" i="21"/>
  <c r="K30" i="21"/>
  <c r="K29" i="21"/>
  <c r="K28" i="21"/>
  <c r="K27" i="21"/>
  <c r="K20" i="21"/>
  <c r="K18" i="21"/>
  <c r="K16" i="21"/>
  <c r="K15" i="21"/>
  <c r="K13" i="21"/>
  <c r="K12" i="21"/>
  <c r="P143" i="20"/>
  <c r="O143" i="20"/>
  <c r="N143" i="20"/>
  <c r="K142" i="20"/>
  <c r="K141" i="20"/>
  <c r="K140" i="20"/>
  <c r="K139" i="20"/>
  <c r="K138" i="20"/>
  <c r="K137" i="20"/>
  <c r="K136" i="20"/>
  <c r="K132" i="20"/>
  <c r="K129" i="20"/>
  <c r="K127" i="20"/>
  <c r="K126" i="20"/>
  <c r="K125" i="20"/>
  <c r="K124" i="20"/>
  <c r="K123" i="20"/>
  <c r="K122" i="20"/>
  <c r="K121" i="20"/>
  <c r="K120" i="20"/>
  <c r="K115" i="20"/>
  <c r="K114" i="20"/>
  <c r="K110" i="20"/>
  <c r="K109" i="20"/>
  <c r="K108" i="20"/>
  <c r="K107" i="20"/>
  <c r="K105" i="20"/>
  <c r="K104" i="20"/>
  <c r="K103" i="20"/>
  <c r="K102" i="20"/>
  <c r="M76" i="20"/>
  <c r="L76" i="20" s="1"/>
  <c r="K76" i="20" s="1"/>
  <c r="M75" i="20"/>
  <c r="L75" i="20"/>
  <c r="K75" i="20" s="1"/>
  <c r="M74" i="20"/>
  <c r="L74" i="20" s="1"/>
  <c r="K74" i="20" s="1"/>
  <c r="M73" i="20"/>
  <c r="L73" i="20" s="1"/>
  <c r="L70" i="20"/>
  <c r="M70" i="20" s="1"/>
  <c r="K69" i="20"/>
  <c r="K68" i="20"/>
  <c r="K66" i="20"/>
  <c r="K65" i="20"/>
  <c r="K64" i="20"/>
  <c r="K63" i="20"/>
  <c r="K61" i="20"/>
  <c r="K60" i="20"/>
  <c r="L59" i="20"/>
  <c r="M59" i="20" s="1"/>
  <c r="K58" i="20"/>
  <c r="K53" i="20"/>
  <c r="K50" i="20"/>
  <c r="K49" i="20"/>
  <c r="K48" i="20"/>
  <c r="K47" i="20"/>
  <c r="K45" i="20"/>
  <c r="K44" i="20"/>
  <c r="K41" i="20"/>
  <c r="K39" i="20"/>
  <c r="K38" i="20"/>
  <c r="K37" i="20"/>
  <c r="K36" i="20"/>
  <c r="K34" i="20"/>
  <c r="K33" i="20"/>
  <c r="K31" i="20"/>
  <c r="K30" i="20"/>
  <c r="K29" i="20"/>
  <c r="K28" i="20"/>
  <c r="K27" i="20"/>
  <c r="K20" i="20"/>
  <c r="K18" i="20"/>
  <c r="K16" i="20"/>
  <c r="K15" i="20"/>
  <c r="K13" i="20"/>
  <c r="K12" i="20"/>
  <c r="L143" i="22" l="1"/>
  <c r="M59" i="22"/>
  <c r="M143" i="22" s="1"/>
  <c r="L143" i="21"/>
  <c r="M59" i="21"/>
  <c r="M143" i="21" s="1"/>
  <c r="K70" i="21"/>
  <c r="K70" i="20"/>
  <c r="M143" i="20"/>
  <c r="L143" i="20"/>
  <c r="K59" i="20"/>
  <c r="Y6" i="23"/>
  <c r="Y7" i="23"/>
  <c r="Y14" i="23"/>
  <c r="Y16" i="23"/>
  <c r="Y17" i="23"/>
  <c r="Y19" i="23"/>
  <c r="Y21" i="23"/>
  <c r="Y28" i="23"/>
  <c r="Y29" i="23"/>
  <c r="Y30" i="23"/>
  <c r="Y31" i="23"/>
  <c r="Y32" i="23"/>
  <c r="Y34" i="23"/>
  <c r="Y35" i="23"/>
  <c r="Y37" i="23"/>
  <c r="Y38" i="23"/>
  <c r="Y39" i="23"/>
  <c r="Y40" i="23"/>
  <c r="Y42" i="23"/>
  <c r="Y45" i="23"/>
  <c r="Y46" i="23"/>
  <c r="Y47" i="23"/>
  <c r="Y48" i="23"/>
  <c r="Y49" i="23"/>
  <c r="Y50" i="23"/>
  <c r="Y51" i="23"/>
  <c r="Y54" i="23"/>
  <c r="Y59" i="23"/>
  <c r="Y60" i="23"/>
  <c r="Y61" i="23"/>
  <c r="Y62" i="23"/>
  <c r="Y64" i="23"/>
  <c r="Y65" i="23"/>
  <c r="Y66" i="23"/>
  <c r="Y67" i="23"/>
  <c r="Y69" i="23"/>
  <c r="Y70" i="23"/>
  <c r="Y71" i="23"/>
  <c r="Y74" i="23"/>
  <c r="Y75" i="23"/>
  <c r="Y76" i="23"/>
  <c r="Y77" i="23"/>
  <c r="Y103" i="23"/>
  <c r="Y104" i="23"/>
  <c r="Y105" i="23"/>
  <c r="Y106" i="23"/>
  <c r="Y108" i="23"/>
  <c r="Y109" i="23"/>
  <c r="Y110" i="23"/>
  <c r="Y111" i="23"/>
  <c r="Y115" i="23"/>
  <c r="Y116" i="23"/>
  <c r="Y121" i="23"/>
  <c r="Y122" i="23"/>
  <c r="Y123" i="23"/>
  <c r="Y124" i="23"/>
  <c r="Y125" i="23"/>
  <c r="Y126" i="23"/>
  <c r="Y127" i="23"/>
  <c r="Y128" i="23"/>
  <c r="Y130" i="23"/>
  <c r="Y133" i="23"/>
  <c r="Y137" i="23"/>
  <c r="Y138" i="23"/>
  <c r="Y139" i="23"/>
  <c r="Y140" i="23"/>
  <c r="Y141" i="23"/>
  <c r="Y142" i="23"/>
  <c r="Y143" i="23"/>
  <c r="Y13" i="23"/>
  <c r="T114" i="21"/>
  <c r="T105" i="21"/>
  <c r="T104" i="21"/>
  <c r="T103" i="21"/>
  <c r="T102" i="21"/>
  <c r="T70" i="21"/>
  <c r="T69" i="21"/>
  <c r="T68" i="21"/>
  <c r="T61" i="21"/>
  <c r="T60" i="21"/>
  <c r="T59" i="21"/>
  <c r="T58" i="21"/>
  <c r="K59" i="22" l="1"/>
  <c r="K143" i="22" s="1"/>
  <c r="K59" i="21"/>
  <c r="K143" i="21" s="1"/>
  <c r="K143" i="20"/>
  <c r="T37" i="21"/>
  <c r="T36" i="21"/>
  <c r="T28" i="21"/>
  <c r="T125" i="20"/>
  <c r="T114" i="20"/>
  <c r="T76" i="20"/>
  <c r="T75" i="20"/>
  <c r="T74" i="20"/>
  <c r="T73" i="20"/>
  <c r="T41" i="20"/>
  <c r="T125" i="2"/>
  <c r="T76" i="2" l="1"/>
  <c r="T75" i="2"/>
  <c r="T74" i="2"/>
  <c r="T73" i="2"/>
  <c r="BF69" i="22" l="1"/>
  <c r="BF70" i="22"/>
  <c r="BF121" i="22"/>
  <c r="BF122" i="22"/>
  <c r="BF123" i="22"/>
  <c r="BF124" i="22"/>
  <c r="BF136" i="22"/>
  <c r="AW142" i="22"/>
  <c r="AW60" i="22"/>
  <c r="AW68" i="22"/>
  <c r="AW69" i="22"/>
  <c r="AW70" i="22"/>
  <c r="AW102" i="22"/>
  <c r="AW103" i="22"/>
  <c r="AW104" i="22"/>
  <c r="AW105" i="22"/>
  <c r="AW115" i="22"/>
  <c r="AW120" i="22"/>
  <c r="AW121" i="22"/>
  <c r="AW122" i="22"/>
  <c r="AW123" i="22"/>
  <c r="AW124" i="22"/>
  <c r="AW125" i="22"/>
  <c r="AW126" i="22"/>
  <c r="AW136" i="22"/>
  <c r="AW138" i="22"/>
  <c r="AN15" i="22"/>
  <c r="AN18" i="22"/>
  <c r="AN28" i="22"/>
  <c r="AN31" i="22"/>
  <c r="AN47" i="22"/>
  <c r="AN48" i="22"/>
  <c r="AN49" i="22"/>
  <c r="AN50" i="22"/>
  <c r="AN58" i="22"/>
  <c r="AN59" i="22"/>
  <c r="AN60" i="22"/>
  <c r="AN61" i="22"/>
  <c r="AN63" i="22"/>
  <c r="AN64" i="22"/>
  <c r="AN65" i="22"/>
  <c r="AN66" i="22"/>
  <c r="AN68" i="22"/>
  <c r="AN74" i="22"/>
  <c r="AN102" i="22"/>
  <c r="AN103" i="22"/>
  <c r="AN104" i="22"/>
  <c r="AN105" i="22"/>
  <c r="AN114" i="22"/>
  <c r="AN115" i="22"/>
  <c r="AN120" i="22"/>
  <c r="AN121" i="22"/>
  <c r="AN122" i="22"/>
  <c r="AN123" i="22"/>
  <c r="AN126" i="22"/>
  <c r="AN129" i="22"/>
  <c r="AN136" i="22"/>
  <c r="AN137" i="22"/>
  <c r="AN138" i="22"/>
  <c r="AN140" i="22"/>
  <c r="AN141" i="22"/>
  <c r="AN142" i="22"/>
  <c r="AN12" i="22"/>
  <c r="AE116" i="22"/>
  <c r="AE117" i="22"/>
  <c r="AE118" i="22"/>
  <c r="AE119" i="22"/>
  <c r="AE120" i="22"/>
  <c r="AE121" i="22"/>
  <c r="AE122" i="22"/>
  <c r="AE123" i="22"/>
  <c r="AE127" i="22"/>
  <c r="AE129" i="22"/>
  <c r="AE132" i="22"/>
  <c r="AE136" i="22"/>
  <c r="AE137" i="22"/>
  <c r="AE138" i="22"/>
  <c r="AE139" i="22"/>
  <c r="AE140" i="22"/>
  <c r="AE141" i="22"/>
  <c r="AE142" i="22"/>
  <c r="T39" i="22" l="1"/>
  <c r="W141" i="22"/>
  <c r="W140" i="22"/>
  <c r="W137" i="22"/>
  <c r="W136" i="22"/>
  <c r="W132" i="22"/>
  <c r="W129" i="22"/>
  <c r="W123" i="22"/>
  <c r="W122" i="22"/>
  <c r="W121" i="22"/>
  <c r="W120" i="22"/>
  <c r="W110" i="22"/>
  <c r="W109" i="22"/>
  <c r="W108" i="22"/>
  <c r="W107" i="22"/>
  <c r="W66" i="22"/>
  <c r="W64" i="22"/>
  <c r="W63" i="22"/>
  <c r="W53" i="22"/>
  <c r="W49" i="22"/>
  <c r="W48" i="22"/>
  <c r="W47" i="22"/>
  <c r="W45" i="22"/>
  <c r="W44" i="22"/>
  <c r="W39" i="22"/>
  <c r="W34" i="22"/>
  <c r="W31" i="22"/>
  <c r="W29" i="22"/>
  <c r="W27" i="22"/>
  <c r="W20" i="22"/>
  <c r="W18" i="22"/>
  <c r="W16" i="22"/>
  <c r="W15" i="22"/>
  <c r="W13" i="22"/>
  <c r="W12" i="22"/>
  <c r="AE115" i="22"/>
  <c r="AE114" i="22"/>
  <c r="AE108" i="22"/>
  <c r="AE109" i="22"/>
  <c r="AE110" i="22"/>
  <c r="AE107" i="22"/>
  <c r="AE103" i="22"/>
  <c r="AE104" i="22"/>
  <c r="AE105" i="22"/>
  <c r="AE102" i="22"/>
  <c r="AE76" i="22"/>
  <c r="AE74" i="22"/>
  <c r="AE75" i="22"/>
  <c r="AE73" i="22"/>
  <c r="AE69" i="22"/>
  <c r="AE70" i="22"/>
  <c r="AE68" i="22"/>
  <c r="AE64" i="22"/>
  <c r="AE65" i="22"/>
  <c r="AE66" i="22"/>
  <c r="AE63" i="22"/>
  <c r="AE61" i="22"/>
  <c r="AE60" i="22"/>
  <c r="AE59" i="22"/>
  <c r="AE58" i="22"/>
  <c r="AE53" i="22"/>
  <c r="AE50" i="22"/>
  <c r="AE49" i="22"/>
  <c r="AE48" i="22"/>
  <c r="AE47" i="22"/>
  <c r="AE45" i="22"/>
  <c r="AE44" i="22"/>
  <c r="AE41" i="22"/>
  <c r="AE39" i="22"/>
  <c r="AE37" i="22"/>
  <c r="AE38" i="22"/>
  <c r="AE36" i="22"/>
  <c r="AE34" i="22"/>
  <c r="AE31" i="22"/>
  <c r="AE30" i="22"/>
  <c r="AE29" i="22"/>
  <c r="AE28" i="22"/>
  <c r="AE27" i="22"/>
  <c r="AE20" i="22"/>
  <c r="AE18" i="22"/>
  <c r="AE13" i="22"/>
  <c r="AE15" i="22"/>
  <c r="AE16" i="22"/>
  <c r="AE12" i="22"/>
  <c r="AA23" i="24"/>
  <c r="Z13" i="24"/>
  <c r="AA13" i="24" s="1"/>
  <c r="Y14" i="24"/>
  <c r="Y16" i="24"/>
  <c r="Y17" i="24"/>
  <c r="Y19" i="24"/>
  <c r="Y21" i="24"/>
  <c r="Y24" i="24"/>
  <c r="Y28" i="24"/>
  <c r="Y29" i="24"/>
  <c r="Y30" i="24"/>
  <c r="Y31" i="24"/>
  <c r="Y32" i="24"/>
  <c r="Y34" i="24"/>
  <c r="Y35" i="24"/>
  <c r="Y37" i="24"/>
  <c r="Y38" i="24"/>
  <c r="Y39" i="24"/>
  <c r="Y40" i="24"/>
  <c r="Y42" i="24"/>
  <c r="Y45" i="24"/>
  <c r="Y46" i="24"/>
  <c r="Y48" i="24"/>
  <c r="Y49" i="24"/>
  <c r="Y50" i="24"/>
  <c r="Y51" i="24"/>
  <c r="Y54" i="24"/>
  <c r="Y59" i="24"/>
  <c r="Y60" i="24"/>
  <c r="Y61" i="24"/>
  <c r="Y62" i="24"/>
  <c r="Y64" i="24"/>
  <c r="Y65" i="24"/>
  <c r="Y66" i="24"/>
  <c r="Y67" i="24"/>
  <c r="Y69" i="24"/>
  <c r="Y70" i="24"/>
  <c r="Y71" i="24"/>
  <c r="Y74" i="24"/>
  <c r="Y75" i="24"/>
  <c r="Y76" i="24"/>
  <c r="Y77" i="24"/>
  <c r="Y79" i="24"/>
  <c r="Y84" i="24"/>
  <c r="Y103" i="24"/>
  <c r="Y104" i="24"/>
  <c r="Y105" i="24"/>
  <c r="Y106" i="24"/>
  <c r="Y108" i="24"/>
  <c r="Y109" i="24"/>
  <c r="Y110" i="24"/>
  <c r="Y111" i="24"/>
  <c r="Y115" i="24"/>
  <c r="Y116" i="24"/>
  <c r="Y121" i="24"/>
  <c r="Y122" i="24"/>
  <c r="Y123" i="24"/>
  <c r="Y124" i="24"/>
  <c r="Y125" i="24"/>
  <c r="Y126" i="24"/>
  <c r="Y127" i="24"/>
  <c r="Y128" i="24"/>
  <c r="Y130" i="24"/>
  <c r="Y133" i="24"/>
  <c r="Y137" i="24"/>
  <c r="Y138" i="24"/>
  <c r="Y139" i="24"/>
  <c r="Y140" i="24"/>
  <c r="Y141" i="24"/>
  <c r="Y142" i="24"/>
  <c r="Y143" i="24"/>
  <c r="Z24" i="24"/>
  <c r="Z28" i="24"/>
  <c r="AA28" i="24" s="1"/>
  <c r="Z29" i="24"/>
  <c r="AA29" i="24" s="1"/>
  <c r="Z30" i="24"/>
  <c r="AA30" i="24" s="1"/>
  <c r="Z31" i="24"/>
  <c r="AA31" i="24" s="1"/>
  <c r="Z32" i="24"/>
  <c r="AA32" i="24" s="1"/>
  <c r="Z34" i="24"/>
  <c r="AA34" i="24" s="1"/>
  <c r="Z35" i="24"/>
  <c r="AA35" i="24" s="1"/>
  <c r="D57" i="14" s="1"/>
  <c r="Z37" i="24"/>
  <c r="AA37" i="24" s="1"/>
  <c r="Z38" i="24"/>
  <c r="AA38" i="24" s="1"/>
  <c r="Z39" i="24"/>
  <c r="AA39" i="24" s="1"/>
  <c r="Z40" i="24"/>
  <c r="AA40" i="24" s="1"/>
  <c r="D26" i="14" s="1"/>
  <c r="Z42" i="24"/>
  <c r="AA42" i="24" s="1"/>
  <c r="Z45" i="24"/>
  <c r="AA45" i="24" s="1"/>
  <c r="Z46" i="24"/>
  <c r="AA46" i="24" s="1"/>
  <c r="Z48" i="24"/>
  <c r="AA48" i="24" s="1"/>
  <c r="Z49" i="24"/>
  <c r="AA49" i="24" s="1"/>
  <c r="Z50" i="24"/>
  <c r="AA50" i="24" s="1"/>
  <c r="Z51" i="24"/>
  <c r="AA51" i="24" s="1"/>
  <c r="Z54" i="24"/>
  <c r="AA54" i="24" s="1"/>
  <c r="Z59" i="24"/>
  <c r="AA59" i="24" s="1"/>
  <c r="Z60" i="24"/>
  <c r="AA60" i="24" s="1"/>
  <c r="Z61" i="24"/>
  <c r="AA61" i="24" s="1"/>
  <c r="Z62" i="24"/>
  <c r="AA62" i="24" s="1"/>
  <c r="Z64" i="24"/>
  <c r="AA64" i="24" s="1"/>
  <c r="Z65" i="24"/>
  <c r="AA65" i="24" s="1"/>
  <c r="Z66" i="24"/>
  <c r="AA66" i="24" s="1"/>
  <c r="Z67" i="24"/>
  <c r="AA67" i="24" s="1"/>
  <c r="Z69" i="24"/>
  <c r="AA69" i="24" s="1"/>
  <c r="Z70" i="24"/>
  <c r="AA70" i="24" s="1"/>
  <c r="Z71" i="24"/>
  <c r="AA71" i="24" s="1"/>
  <c r="Z74" i="24"/>
  <c r="AA74" i="24" s="1"/>
  <c r="Z75" i="24"/>
  <c r="AA75" i="24" s="1"/>
  <c r="Z76" i="24"/>
  <c r="AA76" i="24" s="1"/>
  <c r="Z77" i="24"/>
  <c r="AA77" i="24" s="1"/>
  <c r="Z79" i="24"/>
  <c r="AA79" i="24" s="1"/>
  <c r="Z84" i="24"/>
  <c r="AA84" i="24" s="1"/>
  <c r="Z103" i="24"/>
  <c r="AA103" i="24" s="1"/>
  <c r="Z104" i="24"/>
  <c r="AA104" i="24" s="1"/>
  <c r="D34" i="14" s="1"/>
  <c r="Z105" i="24"/>
  <c r="AA105" i="24" s="1"/>
  <c r="Z106" i="24"/>
  <c r="AA106" i="24" s="1"/>
  <c r="Z108" i="24"/>
  <c r="AA108" i="24" s="1"/>
  <c r="Z109" i="24"/>
  <c r="AA109" i="24" s="1"/>
  <c r="Z110" i="24"/>
  <c r="AA110" i="24" s="1"/>
  <c r="Z111" i="24"/>
  <c r="AA111" i="24" s="1"/>
  <c r="Z115" i="24"/>
  <c r="AA115" i="24" s="1"/>
  <c r="Z116" i="24"/>
  <c r="AA116" i="24" s="1"/>
  <c r="Z121" i="24"/>
  <c r="AA121" i="24" s="1"/>
  <c r="Z122" i="24"/>
  <c r="AA122" i="24" s="1"/>
  <c r="Z123" i="24"/>
  <c r="AA123" i="24" s="1"/>
  <c r="Z124" i="24"/>
  <c r="AA124" i="24" s="1"/>
  <c r="Z125" i="24"/>
  <c r="AA125" i="24" s="1"/>
  <c r="Z126" i="24"/>
  <c r="AA126" i="24" s="1"/>
  <c r="Z127" i="24"/>
  <c r="AA127" i="24" s="1"/>
  <c r="Z128" i="24"/>
  <c r="AA128" i="24" s="1"/>
  <c r="Z130" i="24"/>
  <c r="AA130" i="24" s="1"/>
  <c r="Z133" i="24"/>
  <c r="AA133" i="24" s="1"/>
  <c r="Z137" i="24"/>
  <c r="AA137" i="24" s="1"/>
  <c r="Z138" i="24"/>
  <c r="AA138" i="24" s="1"/>
  <c r="D45" i="14" s="1"/>
  <c r="Z139" i="24"/>
  <c r="AA139" i="24" s="1"/>
  <c r="Z140" i="24"/>
  <c r="AA140" i="24" s="1"/>
  <c r="Z141" i="24"/>
  <c r="AA141" i="24" s="1"/>
  <c r="Z142" i="24"/>
  <c r="AA142" i="24" s="1"/>
  <c r="Z143" i="24"/>
  <c r="AA143" i="24" s="1"/>
  <c r="Z14" i="24"/>
  <c r="AA14" i="24" s="1"/>
  <c r="Z16" i="24"/>
  <c r="AA16" i="24" s="1"/>
  <c r="Z17" i="24"/>
  <c r="AA17" i="24" s="1"/>
  <c r="Z19" i="24"/>
  <c r="AA19" i="24" s="1"/>
  <c r="Z21" i="24"/>
  <c r="AA21" i="24" s="1"/>
  <c r="Y13" i="24"/>
  <c r="AF138" i="22"/>
  <c r="AF137" i="22"/>
  <c r="E35" i="13" l="1"/>
  <c r="D35" i="13"/>
  <c r="L23" i="23" l="1"/>
  <c r="Y13" i="21"/>
  <c r="Y15" i="21"/>
  <c r="Y16" i="21"/>
  <c r="Y18" i="21"/>
  <c r="Y20" i="21"/>
  <c r="Y21" i="21"/>
  <c r="Y23" i="21"/>
  <c r="Y24" i="21"/>
  <c r="Y25" i="21"/>
  <c r="Y27" i="21"/>
  <c r="Y28" i="21"/>
  <c r="Y29" i="21"/>
  <c r="Y30" i="21"/>
  <c r="Y31" i="21"/>
  <c r="Y33" i="21"/>
  <c r="Y34" i="21"/>
  <c r="Y36" i="21"/>
  <c r="Y37" i="21"/>
  <c r="Y38" i="21"/>
  <c r="Y39" i="21"/>
  <c r="Y41" i="21"/>
  <c r="Y44" i="21"/>
  <c r="Y45" i="21"/>
  <c r="Y47" i="21"/>
  <c r="Y48" i="21"/>
  <c r="Y49" i="21"/>
  <c r="Y50" i="21"/>
  <c r="Y53" i="21"/>
  <c r="Y58" i="21"/>
  <c r="Y59" i="21"/>
  <c r="Y60" i="21"/>
  <c r="Y61" i="21"/>
  <c r="Y63" i="21"/>
  <c r="Y64" i="21"/>
  <c r="Y65" i="21"/>
  <c r="Y66" i="21"/>
  <c r="Y68" i="21"/>
  <c r="Y69" i="21"/>
  <c r="Y70" i="21"/>
  <c r="Y73" i="21"/>
  <c r="Y74" i="21"/>
  <c r="Y75" i="21"/>
  <c r="Y76" i="21"/>
  <c r="Y78" i="21"/>
  <c r="Y83" i="21"/>
  <c r="Y102" i="21"/>
  <c r="Y103" i="21"/>
  <c r="Y104" i="21"/>
  <c r="Y105" i="21"/>
  <c r="Y107" i="21"/>
  <c r="Y108" i="21"/>
  <c r="Y109" i="21"/>
  <c r="Y110" i="21"/>
  <c r="Y114" i="21"/>
  <c r="Y115" i="21"/>
  <c r="Y120" i="21"/>
  <c r="Y121" i="21"/>
  <c r="Y122" i="21"/>
  <c r="Y123" i="21"/>
  <c r="Y124" i="21"/>
  <c r="Y125" i="21"/>
  <c r="Y126" i="21"/>
  <c r="Y127" i="21"/>
  <c r="Y129" i="21"/>
  <c r="Y132" i="21"/>
  <c r="Y136" i="21"/>
  <c r="Y137" i="21"/>
  <c r="Y138" i="21"/>
  <c r="Y139" i="21"/>
  <c r="Y140" i="21"/>
  <c r="Y141" i="21"/>
  <c r="Y142" i="21"/>
  <c r="X13" i="21"/>
  <c r="X15" i="21"/>
  <c r="X16" i="21"/>
  <c r="X18" i="21"/>
  <c r="X20" i="21"/>
  <c r="X21" i="21"/>
  <c r="X23" i="21"/>
  <c r="X24" i="21"/>
  <c r="X25" i="21"/>
  <c r="X27" i="21"/>
  <c r="X28" i="21"/>
  <c r="X29" i="21"/>
  <c r="X30" i="21"/>
  <c r="X31" i="21"/>
  <c r="X33" i="21"/>
  <c r="X34" i="21"/>
  <c r="X36" i="21"/>
  <c r="X37" i="21"/>
  <c r="X38" i="21"/>
  <c r="X39" i="21"/>
  <c r="X41" i="21"/>
  <c r="X44" i="21"/>
  <c r="X45" i="21"/>
  <c r="X47" i="21"/>
  <c r="X48" i="21"/>
  <c r="X49" i="21"/>
  <c r="X50" i="21"/>
  <c r="X53" i="21"/>
  <c r="X58" i="21"/>
  <c r="X59" i="21"/>
  <c r="X60" i="21"/>
  <c r="X61" i="21"/>
  <c r="X63" i="21"/>
  <c r="X64" i="21"/>
  <c r="X65" i="21"/>
  <c r="X66" i="21"/>
  <c r="X68" i="21"/>
  <c r="X69" i="21"/>
  <c r="X70" i="21"/>
  <c r="X73" i="21"/>
  <c r="X74" i="21"/>
  <c r="X75" i="21"/>
  <c r="X76" i="21"/>
  <c r="X78" i="21"/>
  <c r="X83" i="21"/>
  <c r="X102" i="21"/>
  <c r="X103" i="21"/>
  <c r="X104" i="21"/>
  <c r="X105" i="21"/>
  <c r="X107" i="21"/>
  <c r="X108" i="21"/>
  <c r="X109" i="21"/>
  <c r="X110" i="21"/>
  <c r="X114" i="21"/>
  <c r="X115" i="21"/>
  <c r="X120" i="21"/>
  <c r="X121" i="21"/>
  <c r="X122" i="21"/>
  <c r="X123" i="21"/>
  <c r="X124" i="21"/>
  <c r="X125" i="21"/>
  <c r="X126" i="21"/>
  <c r="X127" i="21"/>
  <c r="X129" i="21"/>
  <c r="X132" i="21"/>
  <c r="X136" i="21"/>
  <c r="X137" i="21"/>
  <c r="X138" i="21"/>
  <c r="X139" i="21"/>
  <c r="X140" i="21"/>
  <c r="X141" i="21"/>
  <c r="X142" i="21"/>
  <c r="W13" i="21"/>
  <c r="W15" i="21"/>
  <c r="W16" i="21"/>
  <c r="W18" i="21"/>
  <c r="W20" i="21"/>
  <c r="W21" i="21"/>
  <c r="W23" i="21"/>
  <c r="W24" i="21"/>
  <c r="W25" i="21"/>
  <c r="W27" i="21"/>
  <c r="W28" i="21"/>
  <c r="W29" i="21"/>
  <c r="W30" i="21"/>
  <c r="W31" i="21"/>
  <c r="W33" i="21"/>
  <c r="H14" i="13" s="1"/>
  <c r="W34" i="21"/>
  <c r="W36" i="21"/>
  <c r="W37" i="21"/>
  <c r="W38" i="21"/>
  <c r="W39" i="21"/>
  <c r="W41" i="21"/>
  <c r="H17" i="13" s="1"/>
  <c r="W44" i="21"/>
  <c r="W45" i="21"/>
  <c r="W47" i="21"/>
  <c r="W48" i="21"/>
  <c r="W49" i="21"/>
  <c r="W50" i="21"/>
  <c r="W53" i="21"/>
  <c r="W58" i="21"/>
  <c r="W59" i="21"/>
  <c r="W60" i="21"/>
  <c r="W61" i="21"/>
  <c r="W63" i="21"/>
  <c r="W64" i="21"/>
  <c r="W65" i="21"/>
  <c r="W66" i="21"/>
  <c r="W68" i="21"/>
  <c r="W69" i="21"/>
  <c r="W70" i="21"/>
  <c r="W73" i="21"/>
  <c r="W74" i="21"/>
  <c r="W75" i="21"/>
  <c r="W76" i="21"/>
  <c r="W78" i="21"/>
  <c r="H25" i="13" s="1"/>
  <c r="W83" i="21"/>
  <c r="H26" i="13" s="1"/>
  <c r="W102" i="21"/>
  <c r="W103" i="21"/>
  <c r="W104" i="21"/>
  <c r="W105" i="21"/>
  <c r="W107" i="21"/>
  <c r="W108" i="21"/>
  <c r="W109" i="21"/>
  <c r="W110" i="21"/>
  <c r="W114" i="21"/>
  <c r="W115" i="21"/>
  <c r="W120" i="21"/>
  <c r="W121" i="21"/>
  <c r="W122" i="21"/>
  <c r="W123" i="21"/>
  <c r="W124" i="21"/>
  <c r="W125" i="21"/>
  <c r="W126" i="21"/>
  <c r="W127" i="21"/>
  <c r="W129" i="21"/>
  <c r="W132" i="21"/>
  <c r="W136" i="21"/>
  <c r="W137" i="21"/>
  <c r="W138" i="21"/>
  <c r="W139" i="21"/>
  <c r="W140" i="21"/>
  <c r="W141" i="21"/>
  <c r="W142" i="21"/>
  <c r="V13" i="21"/>
  <c r="V15" i="21"/>
  <c r="V16" i="21"/>
  <c r="V18" i="21"/>
  <c r="V20" i="21"/>
  <c r="G12" i="13" s="1"/>
  <c r="H12" i="13" s="1"/>
  <c r="V21" i="21"/>
  <c r="V23" i="21"/>
  <c r="V24" i="21"/>
  <c r="V25" i="21"/>
  <c r="V27" i="21"/>
  <c r="V28" i="21"/>
  <c r="V29" i="21"/>
  <c r="V30" i="21"/>
  <c r="V31" i="21"/>
  <c r="V33" i="21"/>
  <c r="G14" i="13" s="1"/>
  <c r="V34" i="21"/>
  <c r="G15" i="13" s="1"/>
  <c r="H15" i="13" s="1"/>
  <c r="V36" i="21"/>
  <c r="V37" i="21"/>
  <c r="V38" i="21"/>
  <c r="V39" i="21"/>
  <c r="V41" i="21"/>
  <c r="G17" i="13" s="1"/>
  <c r="V44" i="21"/>
  <c r="V45" i="21"/>
  <c r="V47" i="21"/>
  <c r="V48" i="21"/>
  <c r="V49" i="21"/>
  <c r="V50" i="21"/>
  <c r="V53" i="21"/>
  <c r="G20" i="13" s="1"/>
  <c r="H20" i="13" s="1"/>
  <c r="V58" i="21"/>
  <c r="V59" i="21"/>
  <c r="V60" i="21"/>
  <c r="V61" i="21"/>
  <c r="V63" i="21"/>
  <c r="V64" i="21"/>
  <c r="V65" i="21"/>
  <c r="G22" i="13" s="1"/>
  <c r="H22" i="13" s="1"/>
  <c r="V66" i="21"/>
  <c r="V68" i="21"/>
  <c r="V69" i="21"/>
  <c r="V70" i="21"/>
  <c r="V73" i="21"/>
  <c r="V74" i="21"/>
  <c r="V75" i="21"/>
  <c r="V76" i="21"/>
  <c r="V78" i="21"/>
  <c r="G25" i="13" s="1"/>
  <c r="V83" i="21"/>
  <c r="G26" i="13" s="1"/>
  <c r="V102" i="21"/>
  <c r="V103" i="21"/>
  <c r="V104" i="21"/>
  <c r="V105" i="21"/>
  <c r="V107" i="21"/>
  <c r="V108" i="21"/>
  <c r="V109" i="21"/>
  <c r="V110" i="21"/>
  <c r="V114" i="21"/>
  <c r="V115" i="21"/>
  <c r="V120" i="21"/>
  <c r="V121" i="21"/>
  <c r="V122" i="21"/>
  <c r="V123" i="21"/>
  <c r="V124" i="21"/>
  <c r="V125" i="21"/>
  <c r="V126" i="21"/>
  <c r="V127" i="21"/>
  <c r="V129" i="21"/>
  <c r="G31" i="13" s="1"/>
  <c r="H31" i="13" s="1"/>
  <c r="V132" i="21"/>
  <c r="G32" i="13" s="1"/>
  <c r="H32" i="13" s="1"/>
  <c r="V136" i="21"/>
  <c r="V137" i="21"/>
  <c r="V138" i="21"/>
  <c r="V139" i="21"/>
  <c r="V140" i="21"/>
  <c r="V141" i="21"/>
  <c r="V142" i="21"/>
  <c r="Y12" i="21"/>
  <c r="X12" i="21"/>
  <c r="W12" i="21"/>
  <c r="V12" i="21"/>
  <c r="G9" i="13" s="1"/>
  <c r="U78" i="21"/>
  <c r="F25" i="13" s="1"/>
  <c r="U83" i="21"/>
  <c r="F26" i="13" s="1"/>
  <c r="U15" i="21"/>
  <c r="F10" i="13" s="1"/>
  <c r="U16" i="21"/>
  <c r="U18" i="21"/>
  <c r="F11" i="13" s="1"/>
  <c r="G11" i="13" s="1"/>
  <c r="H11" i="13" s="1"/>
  <c r="U20" i="21"/>
  <c r="F12" i="13" s="1"/>
  <c r="U23" i="21"/>
  <c r="F34" i="13" s="1"/>
  <c r="U27" i="21"/>
  <c r="U28" i="21"/>
  <c r="U29" i="21"/>
  <c r="U30" i="21"/>
  <c r="U31" i="21"/>
  <c r="U33" i="21"/>
  <c r="F14" i="13" s="1"/>
  <c r="U34" i="21"/>
  <c r="F15" i="13" s="1"/>
  <c r="U36" i="21"/>
  <c r="F16" i="13" s="1"/>
  <c r="U37" i="21"/>
  <c r="U38" i="21"/>
  <c r="U39" i="21"/>
  <c r="U41" i="21"/>
  <c r="F17" i="13" s="1"/>
  <c r="U44" i="21"/>
  <c r="U45" i="21"/>
  <c r="U47" i="21"/>
  <c r="U48" i="21"/>
  <c r="U49" i="21"/>
  <c r="U50" i="21"/>
  <c r="U53" i="21"/>
  <c r="F20" i="13" s="1"/>
  <c r="U58" i="21"/>
  <c r="F21" i="13" s="1"/>
  <c r="U59" i="21"/>
  <c r="U60" i="21"/>
  <c r="U61" i="21"/>
  <c r="U63" i="21"/>
  <c r="U64" i="21"/>
  <c r="U65" i="21"/>
  <c r="U66" i="21"/>
  <c r="U68" i="21"/>
  <c r="F23" i="13" s="1"/>
  <c r="U69" i="21"/>
  <c r="U70" i="21"/>
  <c r="U73" i="21"/>
  <c r="U74" i="21"/>
  <c r="U75" i="21"/>
  <c r="U76" i="21"/>
  <c r="U102" i="21"/>
  <c r="U103" i="21"/>
  <c r="U104" i="21"/>
  <c r="U105" i="21"/>
  <c r="U107" i="21"/>
  <c r="U108" i="21"/>
  <c r="U109" i="21"/>
  <c r="U110" i="21"/>
  <c r="U114" i="21"/>
  <c r="U115" i="21"/>
  <c r="U120" i="21"/>
  <c r="U121" i="21"/>
  <c r="U122" i="21"/>
  <c r="U123" i="21"/>
  <c r="U124" i="21"/>
  <c r="U125" i="21"/>
  <c r="U126" i="21"/>
  <c r="U127" i="21"/>
  <c r="U129" i="21"/>
  <c r="F31" i="13" s="1"/>
  <c r="U132" i="21"/>
  <c r="F32" i="13" s="1"/>
  <c r="U136" i="21"/>
  <c r="U137" i="21"/>
  <c r="U138" i="21"/>
  <c r="U139" i="21"/>
  <c r="U140" i="21"/>
  <c r="U141" i="21"/>
  <c r="U142" i="21"/>
  <c r="U13" i="21"/>
  <c r="U12" i="21"/>
  <c r="F9" i="13" s="1"/>
  <c r="F28" i="13" l="1"/>
  <c r="G28" i="13" s="1"/>
  <c r="H28" i="13" s="1"/>
  <c r="F19" i="13"/>
  <c r="G27" i="13"/>
  <c r="H27" i="13" s="1"/>
  <c r="F22" i="13"/>
  <c r="G23" i="13"/>
  <c r="G21" i="13"/>
  <c r="G16" i="13"/>
  <c r="H16" i="13" s="1"/>
  <c r="H23" i="13"/>
  <c r="H21" i="13"/>
  <c r="F33" i="13"/>
  <c r="F29" i="13"/>
  <c r="F27" i="13"/>
  <c r="G33" i="13"/>
  <c r="H33" i="13" s="1"/>
  <c r="G29" i="13"/>
  <c r="G18" i="13"/>
  <c r="H18" i="13" s="1"/>
  <c r="G13" i="13"/>
  <c r="H13" i="13" s="1"/>
  <c r="G10" i="13"/>
  <c r="H10" i="13" s="1"/>
  <c r="H29" i="13"/>
  <c r="F30" i="13"/>
  <c r="G30" i="13" s="1"/>
  <c r="H30" i="13" s="1"/>
  <c r="F18" i="13"/>
  <c r="F13" i="13"/>
  <c r="H9" i="13"/>
  <c r="G19" i="13"/>
  <c r="H19" i="13" s="1"/>
  <c r="F24" i="13"/>
  <c r="G24" i="13"/>
  <c r="H24" i="13"/>
  <c r="U143" i="21"/>
  <c r="Y143" i="21"/>
  <c r="W143" i="21"/>
  <c r="X143" i="21"/>
  <c r="V143" i="21"/>
  <c r="V144" i="24"/>
  <c r="U144" i="24"/>
  <c r="T144" i="24"/>
  <c r="S144" i="24"/>
  <c r="R144" i="24"/>
  <c r="Q144" i="24"/>
  <c r="P144" i="24"/>
  <c r="N144" i="24"/>
  <c r="L143" i="24"/>
  <c r="K143" i="24"/>
  <c r="L142" i="24"/>
  <c r="K142" i="24"/>
  <c r="L141" i="24"/>
  <c r="K141" i="24"/>
  <c r="L140" i="24"/>
  <c r="K140" i="24"/>
  <c r="L139" i="24"/>
  <c r="K139" i="24"/>
  <c r="L138" i="24"/>
  <c r="K138" i="24"/>
  <c r="E45" i="14" s="1"/>
  <c r="L137" i="24"/>
  <c r="K137" i="24"/>
  <c r="L133" i="24"/>
  <c r="K133" i="24"/>
  <c r="K130" i="24"/>
  <c r="L128" i="24"/>
  <c r="K128" i="24"/>
  <c r="L127" i="24"/>
  <c r="K127" i="24"/>
  <c r="L126" i="24"/>
  <c r="K126" i="24"/>
  <c r="L125" i="24"/>
  <c r="K125" i="24"/>
  <c r="L124" i="24"/>
  <c r="K124" i="24"/>
  <c r="L123" i="24"/>
  <c r="K123" i="24"/>
  <c r="L122" i="24"/>
  <c r="K122" i="24"/>
  <c r="L121" i="24"/>
  <c r="K121" i="24"/>
  <c r="L116" i="24"/>
  <c r="K116" i="24"/>
  <c r="L115" i="24"/>
  <c r="K115" i="24"/>
  <c r="L111" i="24"/>
  <c r="K111" i="24"/>
  <c r="L110" i="24"/>
  <c r="K110" i="24"/>
  <c r="L109" i="24"/>
  <c r="K109" i="24"/>
  <c r="L108" i="24"/>
  <c r="K108" i="24"/>
  <c r="L106" i="24"/>
  <c r="K106" i="24"/>
  <c r="L105" i="24"/>
  <c r="K105" i="24"/>
  <c r="L104" i="24"/>
  <c r="K104" i="24"/>
  <c r="E34" i="14" s="1"/>
  <c r="L103" i="24"/>
  <c r="K103" i="24"/>
  <c r="O77" i="24"/>
  <c r="M77" i="24" s="1"/>
  <c r="K77" i="24" s="1"/>
  <c r="L77" i="24"/>
  <c r="O76" i="24"/>
  <c r="M76" i="24" s="1"/>
  <c r="K76" i="24" s="1"/>
  <c r="L76" i="24"/>
  <c r="O75" i="24"/>
  <c r="M75" i="24" s="1"/>
  <c r="K75" i="24" s="1"/>
  <c r="L75" i="24"/>
  <c r="O74" i="24"/>
  <c r="M74" i="24" s="1"/>
  <c r="K74" i="24" s="1"/>
  <c r="L74" i="24"/>
  <c r="M71" i="24"/>
  <c r="O71" i="24" s="1"/>
  <c r="K71" i="24" s="1"/>
  <c r="L71" i="24"/>
  <c r="L70" i="24"/>
  <c r="K70" i="24"/>
  <c r="L69" i="24"/>
  <c r="K69" i="24"/>
  <c r="L67" i="24"/>
  <c r="K67" i="24"/>
  <c r="L66" i="24"/>
  <c r="K66" i="24"/>
  <c r="L65" i="24"/>
  <c r="K65" i="24"/>
  <c r="L64" i="24"/>
  <c r="K64" i="24"/>
  <c r="L62" i="24"/>
  <c r="K62" i="24"/>
  <c r="L61" i="24"/>
  <c r="K61" i="24"/>
  <c r="M60" i="24"/>
  <c r="M144" i="24" s="1"/>
  <c r="L60" i="24"/>
  <c r="L59" i="24"/>
  <c r="K59" i="24"/>
  <c r="L54" i="24"/>
  <c r="K54" i="24"/>
  <c r="L51" i="24"/>
  <c r="K51" i="24"/>
  <c r="L50" i="24"/>
  <c r="K50" i="24"/>
  <c r="L49" i="24"/>
  <c r="K49" i="24"/>
  <c r="L48" i="24"/>
  <c r="K48" i="24"/>
  <c r="L46" i="24"/>
  <c r="K46" i="24"/>
  <c r="L45" i="24"/>
  <c r="K45" i="24"/>
  <c r="L42" i="24"/>
  <c r="K42" i="24"/>
  <c r="L40" i="24"/>
  <c r="K40" i="24"/>
  <c r="E26" i="14" s="1"/>
  <c r="L39" i="24"/>
  <c r="K39" i="24"/>
  <c r="K38" i="24"/>
  <c r="K37" i="24"/>
  <c r="L35" i="24"/>
  <c r="K35" i="24"/>
  <c r="E57" i="14" s="1"/>
  <c r="L34" i="24"/>
  <c r="K34" i="24"/>
  <c r="L32" i="24"/>
  <c r="K32" i="24"/>
  <c r="L31" i="24"/>
  <c r="K31" i="24"/>
  <c r="L30" i="24"/>
  <c r="K30" i="24"/>
  <c r="L29" i="24"/>
  <c r="K29" i="24"/>
  <c r="L28" i="24"/>
  <c r="K28" i="24"/>
  <c r="L21" i="24"/>
  <c r="K21" i="24"/>
  <c r="L19" i="24"/>
  <c r="K19" i="24"/>
  <c r="L17" i="24"/>
  <c r="K17" i="24"/>
  <c r="L16" i="24"/>
  <c r="K16" i="24"/>
  <c r="L14" i="24"/>
  <c r="K14" i="24"/>
  <c r="L13" i="24"/>
  <c r="K13" i="24"/>
  <c r="H35" i="13" l="1"/>
  <c r="F35" i="13"/>
  <c r="G35" i="13"/>
  <c r="O60" i="24"/>
  <c r="O144" i="24" s="1"/>
  <c r="L144" i="24"/>
  <c r="K60" i="24"/>
  <c r="K144" i="24" s="1"/>
  <c r="L133" i="23" l="1"/>
  <c r="N144" i="23"/>
  <c r="P144" i="23"/>
  <c r="Q144" i="23"/>
  <c r="R144" i="23"/>
  <c r="S144" i="23"/>
  <c r="T144" i="23"/>
  <c r="U144" i="23"/>
  <c r="V144" i="23"/>
  <c r="L17" i="23"/>
  <c r="L16" i="23" l="1"/>
  <c r="L140" i="23"/>
  <c r="L138" i="23"/>
  <c r="L139" i="23"/>
  <c r="L141" i="23"/>
  <c r="L142" i="23"/>
  <c r="L143" i="23"/>
  <c r="L137" i="23"/>
  <c r="L130" i="23"/>
  <c r="L127" i="23"/>
  <c r="L128" i="23"/>
  <c r="L122" i="23"/>
  <c r="L123" i="23"/>
  <c r="L124" i="23"/>
  <c r="L116" i="23"/>
  <c r="L115" i="23"/>
  <c r="L111" i="23"/>
  <c r="L110" i="23"/>
  <c r="L109" i="23"/>
  <c r="L108" i="23"/>
  <c r="L106" i="23"/>
  <c r="L105" i="23"/>
  <c r="L104" i="23"/>
  <c r="L103" i="23"/>
  <c r="L75" i="23"/>
  <c r="L71" i="23"/>
  <c r="L70" i="23"/>
  <c r="L69" i="23"/>
  <c r="L67" i="23"/>
  <c r="L66" i="23"/>
  <c r="L65" i="23"/>
  <c r="L64" i="23"/>
  <c r="L62" i="23"/>
  <c r="L61" i="23"/>
  <c r="L60" i="23"/>
  <c r="L59" i="23"/>
  <c r="L54" i="23"/>
  <c r="L50" i="23"/>
  <c r="L49" i="23"/>
  <c r="L48" i="23"/>
  <c r="L46" i="23"/>
  <c r="L45" i="23"/>
  <c r="L42" i="23"/>
  <c r="L38" i="23"/>
  <c r="L39" i="23"/>
  <c r="L40" i="23"/>
  <c r="L37" i="23"/>
  <c r="L35" i="23"/>
  <c r="L34" i="23"/>
  <c r="L32" i="23"/>
  <c r="L31" i="23"/>
  <c r="L30" i="23"/>
  <c r="L29" i="23"/>
  <c r="L28" i="23"/>
  <c r="L21" i="23"/>
  <c r="L19" i="23"/>
  <c r="L14" i="23"/>
  <c r="L13" i="23"/>
  <c r="K143" i="23"/>
  <c r="K142" i="23"/>
  <c r="K141" i="23"/>
  <c r="K140" i="23"/>
  <c r="K139" i="23"/>
  <c r="K138" i="23"/>
  <c r="K137" i="23"/>
  <c r="K133" i="23"/>
  <c r="K130" i="23"/>
  <c r="K128" i="23"/>
  <c r="K127" i="23"/>
  <c r="K126" i="23"/>
  <c r="K125" i="23"/>
  <c r="K124" i="23"/>
  <c r="K123" i="23"/>
  <c r="K122" i="23"/>
  <c r="K121" i="23"/>
  <c r="K116" i="23"/>
  <c r="K115" i="23"/>
  <c r="K111" i="23"/>
  <c r="K110" i="23"/>
  <c r="K109" i="23"/>
  <c r="K108" i="23"/>
  <c r="K106" i="23"/>
  <c r="K105" i="23"/>
  <c r="K104" i="23"/>
  <c r="K103" i="23"/>
  <c r="K70" i="23"/>
  <c r="K69" i="23"/>
  <c r="K67" i="23"/>
  <c r="K66" i="23"/>
  <c r="K65" i="23"/>
  <c r="K64" i="23"/>
  <c r="K62" i="23"/>
  <c r="K61" i="23"/>
  <c r="K59" i="23"/>
  <c r="K54" i="23"/>
  <c r="K51" i="23"/>
  <c r="K50" i="23"/>
  <c r="K49" i="23"/>
  <c r="K48" i="23"/>
  <c r="K46" i="23"/>
  <c r="K45" i="23"/>
  <c r="K42" i="23"/>
  <c r="K40" i="23"/>
  <c r="K39" i="23"/>
  <c r="K38" i="23"/>
  <c r="K37" i="23"/>
  <c r="K35" i="23"/>
  <c r="K34" i="23"/>
  <c r="K32" i="23"/>
  <c r="K31" i="23"/>
  <c r="K30" i="23"/>
  <c r="K29" i="23"/>
  <c r="K28" i="23"/>
  <c r="K21" i="23"/>
  <c r="K19" i="23"/>
  <c r="K17" i="23"/>
  <c r="K16" i="23"/>
  <c r="K14" i="23"/>
  <c r="K13" i="23"/>
  <c r="O77" i="23"/>
  <c r="M77" i="23" s="1"/>
  <c r="K77" i="23" s="1"/>
  <c r="O76" i="23"/>
  <c r="M76" i="23" s="1"/>
  <c r="K76" i="23" s="1"/>
  <c r="O75" i="23"/>
  <c r="M75" i="23" s="1"/>
  <c r="K75" i="23" s="1"/>
  <c r="O74" i="23"/>
  <c r="M74" i="23" s="1"/>
  <c r="K74" i="23" s="1"/>
  <c r="M71" i="23"/>
  <c r="O71" i="23" s="1"/>
  <c r="M60" i="23"/>
  <c r="O60" i="23" s="1"/>
  <c r="T34" i="22"/>
  <c r="T140" i="21"/>
  <c r="N143" i="2"/>
  <c r="O143" i="2"/>
  <c r="P143" i="2"/>
  <c r="K137" i="2"/>
  <c r="K138" i="2"/>
  <c r="K139" i="2"/>
  <c r="K140" i="2"/>
  <c r="K141" i="2"/>
  <c r="K142" i="2"/>
  <c r="K136" i="2"/>
  <c r="K123" i="2"/>
  <c r="K124" i="2"/>
  <c r="K125" i="2"/>
  <c r="K126" i="2"/>
  <c r="K127" i="2"/>
  <c r="K115" i="2"/>
  <c r="M76" i="2"/>
  <c r="L76" i="2" s="1"/>
  <c r="K76" i="2" s="1"/>
  <c r="M75" i="2"/>
  <c r="L75" i="2" s="1"/>
  <c r="K75" i="2" s="1"/>
  <c r="M74" i="2"/>
  <c r="L74" i="2" s="1"/>
  <c r="K74" i="2" s="1"/>
  <c r="M73" i="2"/>
  <c r="L73" i="2"/>
  <c r="K73" i="2" s="1"/>
  <c r="O144" i="23" l="1"/>
  <c r="K60" i="23"/>
  <c r="K71" i="23"/>
  <c r="K144" i="23" s="1"/>
  <c r="L144" i="23"/>
  <c r="M144" i="23"/>
  <c r="T47" i="21" l="1"/>
  <c r="T47" i="20"/>
  <c r="T137" i="21" l="1"/>
  <c r="T141" i="21"/>
  <c r="T136" i="21"/>
  <c r="T132" i="21"/>
  <c r="T129" i="21"/>
  <c r="T121" i="21"/>
  <c r="T122" i="21"/>
  <c r="T123" i="21"/>
  <c r="T120" i="21"/>
  <c r="T110" i="21"/>
  <c r="T109" i="21"/>
  <c r="T108" i="21"/>
  <c r="T107" i="21"/>
  <c r="T66" i="21"/>
  <c r="T64" i="21"/>
  <c r="T63" i="21"/>
  <c r="T53" i="21"/>
  <c r="T49" i="21"/>
  <c r="T48" i="21"/>
  <c r="T45" i="21"/>
  <c r="T44" i="21"/>
  <c r="T39" i="21"/>
  <c r="T34" i="21"/>
  <c r="T31" i="21"/>
  <c r="T29" i="21"/>
  <c r="T27" i="21"/>
  <c r="T20" i="21"/>
  <c r="T18" i="21"/>
  <c r="T16" i="21"/>
  <c r="T15" i="21"/>
  <c r="T13" i="21"/>
  <c r="T12" i="21"/>
  <c r="T141" i="20" l="1"/>
  <c r="T140" i="20"/>
  <c r="T137" i="20"/>
  <c r="T136" i="20"/>
  <c r="T132" i="20"/>
  <c r="T129" i="20"/>
  <c r="T123" i="20"/>
  <c r="T122" i="20"/>
  <c r="T121" i="20"/>
  <c r="T120" i="20"/>
  <c r="T110" i="20"/>
  <c r="T109" i="20"/>
  <c r="T108" i="20"/>
  <c r="T107" i="20"/>
  <c r="T105" i="20"/>
  <c r="T104" i="20"/>
  <c r="T103" i="20"/>
  <c r="T102" i="20"/>
  <c r="T70" i="20"/>
  <c r="T69" i="20"/>
  <c r="T68" i="20"/>
  <c r="T66" i="20"/>
  <c r="T65" i="20"/>
  <c r="T64" i="20"/>
  <c r="T63" i="20"/>
  <c r="T61" i="20"/>
  <c r="T60" i="20"/>
  <c r="T59" i="20"/>
  <c r="T58" i="20"/>
  <c r="T53" i="20"/>
  <c r="T50" i="20"/>
  <c r="T49" i="20"/>
  <c r="T48" i="20"/>
  <c r="T45" i="20"/>
  <c r="T44" i="20"/>
  <c r="T39" i="20"/>
  <c r="T37" i="20"/>
  <c r="T36" i="20"/>
  <c r="T34" i="20"/>
  <c r="T31" i="20"/>
  <c r="T29" i="20"/>
  <c r="T28" i="20"/>
  <c r="T27" i="20"/>
  <c r="T20" i="20"/>
  <c r="T18" i="20"/>
  <c r="T16" i="20"/>
  <c r="T15" i="20"/>
  <c r="T13" i="20"/>
  <c r="T12" i="20"/>
  <c r="T140" i="2"/>
  <c r="T137" i="2"/>
  <c r="T136" i="2"/>
  <c r="T123" i="2"/>
  <c r="T121" i="2"/>
  <c r="T107" i="2"/>
  <c r="T110" i="2"/>
  <c r="T108" i="2"/>
  <c r="T102" i="2"/>
  <c r="T104" i="2"/>
  <c r="T70" i="2"/>
  <c r="T68" i="2"/>
  <c r="T63" i="2"/>
  <c r="T132" i="2" l="1"/>
  <c r="T129" i="2"/>
  <c r="T122" i="2"/>
  <c r="T120" i="2"/>
  <c r="T114" i="2"/>
  <c r="T109" i="2"/>
  <c r="T105" i="2"/>
  <c r="T103" i="2"/>
  <c r="T69" i="2"/>
  <c r="T66" i="2"/>
  <c r="T65" i="2"/>
  <c r="T64" i="2"/>
  <c r="T61" i="2"/>
  <c r="T60" i="2"/>
  <c r="T59" i="2"/>
  <c r="T58" i="2"/>
  <c r="T53" i="2"/>
  <c r="T50" i="2"/>
  <c r="T49" i="2"/>
  <c r="T48" i="2"/>
  <c r="T47" i="2"/>
  <c r="T45" i="2"/>
  <c r="T44" i="2"/>
  <c r="T41" i="2"/>
  <c r="T39" i="2"/>
  <c r="T38" i="2"/>
  <c r="T37" i="2"/>
  <c r="T36" i="2"/>
  <c r="T34" i="2"/>
  <c r="T28" i="2"/>
  <c r="T29" i="2"/>
  <c r="T30" i="2"/>
  <c r="T31" i="2"/>
  <c r="T27" i="2"/>
  <c r="T20" i="2"/>
  <c r="K132" i="2" l="1"/>
  <c r="K129" i="2"/>
  <c r="K121" i="2"/>
  <c r="K122" i="2"/>
  <c r="K120" i="2"/>
  <c r="K114" i="2"/>
  <c r="K108" i="2"/>
  <c r="K109" i="2"/>
  <c r="K110" i="2"/>
  <c r="K107" i="2"/>
  <c r="K103" i="2"/>
  <c r="K104" i="2"/>
  <c r="K105" i="2"/>
  <c r="K102" i="2"/>
  <c r="K69" i="2"/>
  <c r="K68" i="2"/>
  <c r="L70" i="2"/>
  <c r="M70" i="2" s="1"/>
  <c r="K64" i="2"/>
  <c r="K65" i="2"/>
  <c r="K66" i="2"/>
  <c r="K63" i="2"/>
  <c r="K60" i="2"/>
  <c r="K61" i="2"/>
  <c r="K58" i="2"/>
  <c r="L59" i="2"/>
  <c r="K53" i="2"/>
  <c r="K50" i="2"/>
  <c r="K49" i="2"/>
  <c r="K48" i="2"/>
  <c r="K47" i="2"/>
  <c r="K45" i="2"/>
  <c r="K44" i="2"/>
  <c r="K41" i="2"/>
  <c r="K39" i="2"/>
  <c r="K38" i="2"/>
  <c r="K37" i="2"/>
  <c r="K36" i="2"/>
  <c r="K34" i="2"/>
  <c r="K33" i="2"/>
  <c r="K30" i="2"/>
  <c r="K31" i="2"/>
  <c r="K28" i="2"/>
  <c r="K29" i="2"/>
  <c r="K27" i="2"/>
  <c r="K20" i="2"/>
  <c r="T18" i="2"/>
  <c r="K18" i="2"/>
  <c r="M59" i="2" l="1"/>
  <c r="M143" i="2" s="1"/>
  <c r="L143" i="2"/>
  <c r="K59" i="2"/>
  <c r="K70" i="2"/>
  <c r="T16" i="2" l="1"/>
  <c r="T15" i="2"/>
  <c r="K16" i="2"/>
  <c r="K15" i="2"/>
  <c r="T13" i="2"/>
  <c r="T12" i="2"/>
  <c r="K13" i="2" l="1"/>
  <c r="K12" i="2"/>
  <c r="K143" i="2" l="1"/>
</calcChain>
</file>

<file path=xl/comments1.xml><?xml version="1.0" encoding="utf-8"?>
<comments xmlns="http://schemas.openxmlformats.org/spreadsheetml/2006/main">
  <authors>
    <author>Autorius</author>
  </authors>
  <commentList>
    <comment ref="AF29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2,11</t>
        </r>
      </text>
    </comment>
    <comment ref="BG69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rodiklio reikšmė nebuvo nurodyta</t>
        </r>
      </text>
    </comment>
    <comment ref="AF70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reikšmė nebuvo nurodyta</t>
        </r>
      </text>
    </comment>
    <comment ref="BG70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rodiklio reikšmė nebuvo nurodyta</t>
        </r>
      </text>
    </comment>
    <comment ref="AF137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0,7 ha</t>
        </r>
      </text>
    </comment>
    <comment ref="AF138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buvo 7,3 ha</t>
        </r>
      </text>
    </comment>
  </commentList>
</comments>
</file>

<file path=xl/sharedStrings.xml><?xml version="1.0" encoding="utf-8"?>
<sst xmlns="http://schemas.openxmlformats.org/spreadsheetml/2006/main" count="6092" uniqueCount="790">
  <si>
    <t>metodikos</t>
  </si>
  <si>
    <t>Kodas</t>
  </si>
  <si>
    <t>Metai:</t>
  </si>
  <si>
    <t>Vertinimo kriterijaus pavadinimas</t>
  </si>
  <si>
    <t>Nr.</t>
  </si>
  <si>
    <t>Pavadinimas</t>
  </si>
  <si>
    <t>1.1.1</t>
  </si>
  <si>
    <t>Vertinimo kriterijaus pavadinimas ir matavimo vienetai</t>
  </si>
  <si>
    <t xml:space="preserve">PLANO ĮGYVENDINIMO STEBĖSENOS DUOMENŲ SUVESTINĖ </t>
  </si>
  <si>
    <t>1 lentelė. Efekto ir rezultato vertinimo kriterijų pasiekimas.</t>
  </si>
  <si>
    <t>Nuokrypio intervalai</t>
  </si>
  <si>
    <t>Faktinė reikšmė:</t>
  </si>
  <si>
    <t>6 priedas</t>
  </si>
  <si>
    <t>2 lentelė. Pagrindinių projektų įgyvendinimo etapų terminai – projektų įtraukimas į regiono arba valstybės projektų sąrašus*.</t>
  </si>
  <si>
    <t>Požymiai</t>
  </si>
  <si>
    <t>Lėšų poreikis ir finansavimo šaltiniai (Eur)</t>
  </si>
  <si>
    <t>Projektų įtraukimas į regiono arba valstybės projektų sąrašus</t>
  </si>
  <si>
    <t>Projektas</t>
  </si>
  <si>
    <t>Ministerija</t>
  </si>
  <si>
    <t>Įgyvendinimo teritorija</t>
  </si>
  <si>
    <t>Veiksmų programos įgyvendinimo plano arba Kaimo plėtros programos priemonė (Nr.)</t>
  </si>
  <si>
    <t>R/V/KT**</t>
  </si>
  <si>
    <t>ITI, RSP***</t>
  </si>
  <si>
    <t>Iš viso:</t>
  </si>
  <si>
    <t>Savivaldybės biudžetas</t>
  </si>
  <si>
    <t>Valstybės biudžetas</t>
  </si>
  <si>
    <t>Privačios lėšos</t>
  </si>
  <si>
    <t>Kitos viešosios lėšos</t>
  </si>
  <si>
    <t>ES lėšos</t>
  </si>
  <si>
    <t>Planuota (metai, mėnuo)</t>
  </si>
  <si>
    <t>Faktiškai įvykdyta (metai, mėnuo)</t>
  </si>
  <si>
    <t>Vėlavimas (mėnesiais)</t>
  </si>
  <si>
    <t>1.</t>
  </si>
  <si>
    <t>1.1</t>
  </si>
  <si>
    <t>-</t>
  </si>
  <si>
    <t>1.1.1.1</t>
  </si>
  <si>
    <t>1.1.1.1.1</t>
  </si>
  <si>
    <t>1.1.1.1.2</t>
  </si>
  <si>
    <t>1.1.1.2</t>
  </si>
  <si>
    <t>1.1.1.2.1</t>
  </si>
  <si>
    <t>1.1.1.2.2</t>
  </si>
  <si>
    <t>* Pildoma projektams, kuriuos buvo numatyta įtraukti į regiono arba valstybės projektų sąrašus iki einamojo ketvirčio pabaigos.</t>
  </si>
  <si>
    <t>3 lentelė. Pagrindinių projektų įgyvendinimo etapų terminai – projektų paraiškų pateikimas įgyvendinančiajai institucijai*.</t>
  </si>
  <si>
    <t>Projektų paraiškų pateikimas įgyvendinančiajai institucijai</t>
  </si>
  <si>
    <t>R/V/KT</t>
  </si>
  <si>
    <t>ITI, RSP</t>
  </si>
  <si>
    <t>4 lentelė. Pagrindinių projektų įgyvendinimo etapų terminai – projektų finansavimo sutarčių sudarymas*.</t>
  </si>
  <si>
    <t>Projektų finansavimo sutarčių sudarymas</t>
  </si>
  <si>
    <t>5 lentelė. Pagrindinių projektų įgyvendinimo etapų terminai – projektų užbaigimas*.</t>
  </si>
  <si>
    <t>6 lentelė. Planui įgyvendinti skirti asignavimai*.</t>
  </si>
  <si>
    <t>Planuota</t>
  </si>
  <si>
    <t>Skirta**</t>
  </si>
  <si>
    <t>** Pagal sudarytas projektų finansavimo sutartis.</t>
  </si>
  <si>
    <t>7 lentelė. Planui įgyvendinti panaudoti asignavimai*.</t>
  </si>
  <si>
    <t>Panaudota</t>
  </si>
  <si>
    <t>8 lentelė. Lėšų paskirstymas pagal Veiksmų programos įgyvendinimo plano priemones ir Kaimo plėtros programos priemones (tūkst. Eur) (sudarytos projektų finansavimo sutartys, kaupiamuoju būdu).</t>
  </si>
  <si>
    <t>Veiksmų programos įgyvendinimo plano ir Kaimo plėtros programos priemonė (Nr.)</t>
  </si>
  <si>
    <t>Veiksmų programos įgyvendinimo plano ir Kaimo plėtros programos priemonės pavadinimas</t>
  </si>
  <si>
    <t>9 lentelė. Baigti projektai pagal pagrindinę veiklų grupę (kaupiamuoju būdu, nuo plano įgyvendinimo pradžios).</t>
  </si>
  <si>
    <t>Projektų, kuriems veiklų grupė priskirta kaip pagrindinė, skaičius</t>
  </si>
  <si>
    <t>Projektų, kuriems veiklų grupė priskirta kaip pagrindinė, panaudotas finansavimas (iš viso)</t>
  </si>
  <si>
    <t>Atsinaujinančių energijos šaltinių diegimas</t>
  </si>
  <si>
    <t>Viešųjų pastatų energinio efektyvumo didinimas</t>
  </si>
  <si>
    <t>Viešosios infrastruktūros (išskyrus pastatus) energinio efektyvumo didinimas</t>
  </si>
  <si>
    <t>Gyvenamųjų namų energinio efektyvumo didinimas</t>
  </si>
  <si>
    <t>Atliekų tvarkymas (mažinimo, rūšiavimo ir perdirbimo skatinimo priemonės)</t>
  </si>
  <si>
    <t>Vandentvarka (esamų geriamo vandens ir nuotekų tinklų modernizavimas)</t>
  </si>
  <si>
    <t>Vandentvarka (naujų tinklų įrengimas)</t>
  </si>
  <si>
    <t>Lietaus nuotekų sistemų modernizavimas ir plėtra</t>
  </si>
  <si>
    <t>Viešojo transporto infrastruktūra</t>
  </si>
  <si>
    <t>Viešojo transporto priemonių įsigijimas</t>
  </si>
  <si>
    <t>Vietinės reikšmės keliai ir gatvės (statyba)</t>
  </si>
  <si>
    <t>Vietinės reikšmės keliai ir gatvės (rekonstrukcija)</t>
  </si>
  <si>
    <t>Valstybinės reikšmės keliai ir gatvės (statyba)</t>
  </si>
  <si>
    <t>Valstybinės reikšmės keliai ir gatvės (rekonstrukcija)</t>
  </si>
  <si>
    <t>Daugiarūšio transporto plėtra</t>
  </si>
  <si>
    <t>Oro uostų ir aerodromų infrastruktūra</t>
  </si>
  <si>
    <t>Regioninė ir vietinė vandens transporto infrastruktūra</t>
  </si>
  <si>
    <t>Intelektinės transporto sistemos</t>
  </si>
  <si>
    <t>Aukštojo mokslo įstaigų modernizavimas</t>
  </si>
  <si>
    <t>Profesinio ar suaugusiųjų mokymo įstaigų modernizavimas</t>
  </si>
  <si>
    <t>Bendrojo lavinimo mokyklų modernizavimas</t>
  </si>
  <si>
    <t>Ikimokyklinio ar priešmokyklinio ugdymo įstaigų modernizavimas</t>
  </si>
  <si>
    <t>Neformaliojo švietimo įstaigų modernizavimas</t>
  </si>
  <si>
    <t>Socialinio būsto infrastruktūra (nauja statyba arba pritaikymas)</t>
  </si>
  <si>
    <t>Socialinio būsto įsigijimas</t>
  </si>
  <si>
    <t>Socialinių paslaugų infrastruktūra</t>
  </si>
  <si>
    <t>Kitos viešosios infrastruktūros modernizavimas (viešosios erdvės): rekreacinės teritorijos ir gamtinis karkasas</t>
  </si>
  <si>
    <t>Kitos viešosios infrastruktūros modernizavimas (viešosios erdvės): visuomeninės, komercinės ir bendro naudojimo paskirties teritorijos</t>
  </si>
  <si>
    <t>Kitos viešosios infrastruktūros modernizavimas (viešosios erdvės): gyvenamosios paskirties teritorijos</t>
  </si>
  <si>
    <t>Kitos viešosios infrastruktūros modernizavimas (viešosios erdvės): pramoninių, buvusių karinių, inžinerinių ir pan. objektų teritorijų pritaikymas ar konversija</t>
  </si>
  <si>
    <t>Kitos viešosios infrastruktūros modernizavimas (pastatai ir statiniai): sveikatinimo ir sporto objektai</t>
  </si>
  <si>
    <t>Kitos viešosios infrastruktūros modernizavimas (pastatai ir statiniai): kultūros objektai</t>
  </si>
  <si>
    <t>Kitos viešosios infrastruktūros modernizavimas (pastatai ir statiniai): bendruomenės, nevyriausybinių organizacijų veiklai pritaikomi pastatai</t>
  </si>
  <si>
    <t>Viešoji tyrimų ir inovacijų infrastruktūra</t>
  </si>
  <si>
    <t>Viešoji verslui skirta infrastruktūra (pramoniniai parkai, pramonės zonos ir pan.)</t>
  </si>
  <si>
    <t>Oro kokybės gerinimas (gatvių valymo technikos įsigijimas, technologijų diegimas)</t>
  </si>
  <si>
    <t>Kraštovaizdžio tvarkymas (kraštovaizdžio etalonai, pažeistos teritorijos ir pan.)</t>
  </si>
  <si>
    <t>Užterštų teritorijų išvalymas</t>
  </si>
  <si>
    <t>Pėsčiųjų ir dviračių takai (ne miesto vietovėse)</t>
  </si>
  <si>
    <t>Viešoji turizmo infrastruktūra</t>
  </si>
  <si>
    <t>Viešosios turizmo paslaugos</t>
  </si>
  <si>
    <t>Kultūros paveldo objektų sutvarkymas ir pritaikymas</t>
  </si>
  <si>
    <t>Gamtos paveldo objektų sutvarkymas ir pritaikymas</t>
  </si>
  <si>
    <t>Kompleksinių paveldo objektų sutvarkymas ir pritaikymas</t>
  </si>
  <si>
    <t>Sveikatos paslaugų plėtra (ne infrastruktūra)</t>
  </si>
  <si>
    <t>Socialinių paslaugų plėtra (ne infrastruktūra)</t>
  </si>
  <si>
    <t>Viešojo valdymo tobulinimas</t>
  </si>
  <si>
    <t>Kita (nepriskirta kitoms grupėms) viešoji infrastruktūra ar paslaugos</t>
  </si>
  <si>
    <t>Privačių juridinių asmenų ir juridinio asmens statuso neturinčių organizacijų gamybos srities projektai</t>
  </si>
  <si>
    <t>Privačių juridinių asmenų ir juridinio asmens statuso neturinčių organizacijų paslaugų srities projektai</t>
  </si>
  <si>
    <t xml:space="preserve">  10 lentelė. Pasiektos produkto ir rezultato vertinimo kriterijų reikšmės kaupiamuoju būdu (nuo plano įgyvendinimo pradžios).</t>
  </si>
  <si>
    <t>Natura 2000 teritorijų tvarkymas ir pritaikymas</t>
  </si>
  <si>
    <t>Projektų etapai</t>
  </si>
  <si>
    <t>Unikalus numeris</t>
  </si>
  <si>
    <t>Unikalus numeris****</t>
  </si>
  <si>
    <r>
      <t xml:space="preserve">Darnaus judumo priemonės miestuose (pėsčiųjų ir dviračių takų infrastruktūra, </t>
    </r>
    <r>
      <rPr>
        <i/>
        <sz val="11"/>
        <color theme="1"/>
        <rFont val="Times New Roman"/>
        <family val="1"/>
        <charset val="186"/>
      </rPr>
      <t>Park and Ride</t>
    </r>
    <r>
      <rPr>
        <sz val="11"/>
        <color theme="1"/>
        <rFont val="Times New Roman"/>
        <family val="1"/>
        <charset val="186"/>
      </rPr>
      <t xml:space="preserve">, </t>
    </r>
    <r>
      <rPr>
        <i/>
        <sz val="11"/>
        <color theme="1"/>
        <rFont val="Times New Roman"/>
        <family val="1"/>
        <charset val="186"/>
      </rPr>
      <t>Bike and Ride</t>
    </r>
    <r>
      <rPr>
        <sz val="11"/>
        <color theme="1"/>
        <rFont val="Times New Roman"/>
        <family val="1"/>
        <charset val="186"/>
      </rPr>
      <t xml:space="preserve"> aikštelės, elektromobilių įkrovimo stotelių įrengimas ir kita)</t>
    </r>
  </si>
  <si>
    <r>
      <t>a</t>
    </r>
    <r>
      <rPr>
        <sz val="10"/>
        <color theme="1"/>
        <rFont val="Times New Roman"/>
        <family val="1"/>
        <charset val="186"/>
      </rPr>
      <t xml:space="preserve"> [a; +∞) arba (-∞; a] – labai gerai</t>
    </r>
  </si>
  <si>
    <r>
      <t>b</t>
    </r>
    <r>
      <rPr>
        <sz val="10"/>
        <color theme="1"/>
        <rFont val="Times New Roman"/>
        <family val="1"/>
        <charset val="186"/>
      </rPr>
      <t xml:space="preserve"> (a; b) – gerai</t>
    </r>
  </si>
  <si>
    <r>
      <t>c</t>
    </r>
    <r>
      <rPr>
        <sz val="10"/>
        <color theme="1"/>
        <rFont val="Times New Roman"/>
        <family val="1"/>
        <charset val="186"/>
      </rPr>
      <t xml:space="preserve"> [b; c) – patenkinamai; (-∞; c] arba [c; +∞) – blogai</t>
    </r>
  </si>
  <si>
    <t>Regionų plėtros planų rengimo</t>
  </si>
  <si>
    <t>Pareiškėjas / projekto vykdytojas</t>
  </si>
  <si>
    <t>Kita tarptautinė finansinė parama</t>
  </si>
  <si>
    <t>1.1-ef-1</t>
  </si>
  <si>
    <t>Bendrasis vidaus produktas, mln. Eur</t>
  </si>
  <si>
    <t>a=770,4</t>
  </si>
  <si>
    <t>b=721,2</t>
  </si>
  <si>
    <t>c=670,1</t>
  </si>
  <si>
    <t> 1.1-ef-2</t>
  </si>
  <si>
    <t>Registruotų bedarbių ir darbingo amžiaus gyventojų santykis, lyginant su šalies vidurkiu, proc.</t>
  </si>
  <si>
    <t>a=115,0</t>
  </si>
  <si>
    <t>b=120,5</t>
  </si>
  <si>
    <t>c=125,3</t>
  </si>
  <si>
    <t xml:space="preserve"> b=120,5</t>
  </si>
  <si>
    <t>1.1.1-r-1</t>
  </si>
  <si>
    <t>Įgyvendintų projektų skaičius.(ITI), vnt.</t>
  </si>
  <si>
    <t>1.1.1-r-2</t>
  </si>
  <si>
    <t>Kompleksiškai sutvarkytų tikslinių teritorijų skaičius (ITI), vnt.</t>
  </si>
  <si>
    <t>1.1.1-r-3</t>
  </si>
  <si>
    <t>Kompleksiškai sutvarkyti miestai, vnt.</t>
  </si>
  <si>
    <t> 1.1.1-r-4</t>
  </si>
  <si>
    <t>Sutvarkytos pereinamojo laikotarpio tikslinės teritorijos, vnt.</t>
  </si>
  <si>
    <t>1.2.-ef-1</t>
  </si>
  <si>
    <t>Tiesioginių užsienio investicijų tenkančių 1 gyventojui regione padidėjimas, proc.</t>
  </si>
  <si>
    <t>1.2-ef-2</t>
  </si>
  <si>
    <t>Vidutinis mėnesinis bruto darbo užmokestis, lyginant su šalies vidurkiu, proc.</t>
  </si>
  <si>
    <t>1.1.2-r-1</t>
  </si>
  <si>
    <t>Kompleksiškai atnaujintų kaimo vietovių skaičius (1-6 tūkst. gyv.).</t>
  </si>
  <si>
    <t>1.1.2-r-2</t>
  </si>
  <si>
    <t>Pagrindinių paslaugų ir kaimų atnaujinimo kaimo vietovėse įgyvendintų priemonių skaičius, vnt.</t>
  </si>
  <si>
    <t>1.2.1-r-1</t>
  </si>
  <si>
    <t>Įgyvendintų susisiekimo sistemos tobulinimo projektų skaičius, vnt.</t>
  </si>
  <si>
    <t>1.2.1-r-2</t>
  </si>
  <si>
    <t>Kelių eismo įvykių skaičiaus sumažinimas regione, proc.</t>
  </si>
  <si>
    <t>1.2.2-r-1</t>
  </si>
  <si>
    <t>Sutvarkytų, modernizuotų ir atnaujintų kultūros paveldo objektų skaičius, vnt.</t>
  </si>
  <si>
    <t>1.2.2-r-2</t>
  </si>
  <si>
    <t>Sutvarkytų, modernizuotų ir atnaujintų kultūros infrastruktūros objektų skaičius, vnt.</t>
  </si>
  <si>
    <t>b=0</t>
  </si>
  <si>
    <t>c=0</t>
  </si>
  <si>
    <t>a=1</t>
  </si>
  <si>
    <t>b=5</t>
  </si>
  <si>
    <t>c=1</t>
  </si>
  <si>
    <t>b=8</t>
  </si>
  <si>
    <t>b=15</t>
  </si>
  <si>
    <t>c=10</t>
  </si>
  <si>
    <t>a=8</t>
  </si>
  <si>
    <t>a=15</t>
  </si>
  <si>
    <t>a=17</t>
  </si>
  <si>
    <t> 1.2.3-r-1</t>
  </si>
  <si>
    <t>Turistų skaičiaus padidėjimas, proc.</t>
  </si>
  <si>
    <t>2.1-ef-1</t>
  </si>
  <si>
    <t>Regiono savivaldybių, pagerinusių vietą Lietuvos savivaldybių indekse, skaičius.</t>
  </si>
  <si>
    <t>2.1-ef-2</t>
  </si>
  <si>
    <t>Gyventojų, kuriems padidinta švietimo, sveikatos ir socialinės priežiūros paslaugų aprėptis ir prieinamumas, apimties padidėjimas, proc.</t>
  </si>
  <si>
    <t>2.1.1-r-1</t>
  </si>
  <si>
    <t>Ikimokyklinio ir priešmokyklinio ugdymo, bendrojo lavinimo ir neformaliojo švietimo įstaigų modernizavimo projektų skaičius, vnt.</t>
  </si>
  <si>
    <t>2.1.2-r-1</t>
  </si>
  <si>
    <t>Įgyvendintų sveikatos paslaugų gerinimo ir prieinamumo didinimo bei sveiko senėjimo proceso ugdymo projektų skaičius, vnt.</t>
  </si>
  <si>
    <t>2.1.3-r-1</t>
  </si>
  <si>
    <t>Įsigytų arba naujai įrengtų socialinių būstų skaičius, vnt.</t>
  </si>
  <si>
    <t>2.2-ef-1</t>
  </si>
  <si>
    <t>Savivaldybių, pagerinusių viešąjį valdymą ir jo  paslaugų kokybę, skaičius, vnt.</t>
  </si>
  <si>
    <t>2.2.1-r-1</t>
  </si>
  <si>
    <t>Viešojo valdymo darbuotojų, dalyvavusių kompetencijos ir  aptarnavimo kokybės gerinimo veiklose, skaičius, vnt.</t>
  </si>
  <si>
    <t>3.1-ef-1</t>
  </si>
  <si>
    <t>Gyventojų, aprūpintų aukštos kokybės vandentvarkos paslauga, aprėpties padidėjimas, proc.</t>
  </si>
  <si>
    <t>3.1-ef-2</t>
  </si>
  <si>
    <t>Gyventojų, aprūpintų aukštos kokybės atliekų tvarkymo paslauga, aprėpties padidėjimas, proc.</t>
  </si>
  <si>
    <t>3.1.1-r-1</t>
  </si>
  <si>
    <t>Įgyvendintų rekonstruojamų, modernizuojamų ir naujai nutiestų vandens tiekimo tinklų ir nuotekų tinklų įrengimo  projektų skaičius, vnt.</t>
  </si>
  <si>
    <t>3.1.2-r-1</t>
  </si>
  <si>
    <t>Į sąvartyną pašalinamų komunalinių atliekų dalis bendroje atliekų apimtyje, proc.</t>
  </si>
  <si>
    <t>3.2-ef-1</t>
  </si>
  <si>
    <t>Savivaldybių, kuriose įdiegtos kraštovaizdį ir ekologinę būklę gerinančios priemonės, skaičius.</t>
  </si>
  <si>
    <t>3.2.1-r-1</t>
  </si>
  <si>
    <t>Regione sutvarkytų apleistų ir užterštų teritorijų bei vandens telkinių skaičius, vnt.</t>
  </si>
  <si>
    <t>a=2</t>
  </si>
  <si>
    <t>b=1</t>
  </si>
  <si>
    <t xml:space="preserve"> c=0</t>
  </si>
  <si>
    <t>a=3</t>
  </si>
  <si>
    <t>b=2</t>
  </si>
  <si>
    <t xml:space="preserve"> c=1</t>
  </si>
  <si>
    <t xml:space="preserve">a=3 </t>
  </si>
  <si>
    <t xml:space="preserve">b=2 </t>
  </si>
  <si>
    <t xml:space="preserve">a=1 </t>
  </si>
  <si>
    <t xml:space="preserve">b=0 </t>
  </si>
  <si>
    <t xml:space="preserve"> b=0 </t>
  </si>
  <si>
    <t xml:space="preserve">a=2 </t>
  </si>
  <si>
    <t xml:space="preserve">b=1 </t>
  </si>
  <si>
    <t>c=2</t>
  </si>
  <si>
    <t xml:space="preserve">a=4 </t>
  </si>
  <si>
    <t xml:space="preserve">b=3 </t>
  </si>
  <si>
    <t xml:space="preserve">a=86,5 </t>
  </si>
  <si>
    <t xml:space="preserve">b=83,4 </t>
  </si>
  <si>
    <t>c=80,7</t>
  </si>
  <si>
    <t xml:space="preserve">a=7 </t>
  </si>
  <si>
    <t xml:space="preserve">a=11 </t>
  </si>
  <si>
    <t>b=7</t>
  </si>
  <si>
    <t xml:space="preserve"> c=5</t>
  </si>
  <si>
    <t xml:space="preserve">a=12 </t>
  </si>
  <si>
    <t>b=11</t>
  </si>
  <si>
    <t xml:space="preserve"> c=7</t>
  </si>
  <si>
    <t xml:space="preserve">a=5 </t>
  </si>
  <si>
    <t xml:space="preserve">a=8 </t>
  </si>
  <si>
    <t xml:space="preserve">b=5 </t>
  </si>
  <si>
    <t xml:space="preserve">b=18 </t>
  </si>
  <si>
    <t>c=5</t>
  </si>
  <si>
    <t xml:space="preserve">a=15 </t>
  </si>
  <si>
    <t xml:space="preserve">b=11 </t>
  </si>
  <si>
    <t>c=8</t>
  </si>
  <si>
    <t>b=3</t>
  </si>
  <si>
    <t xml:space="preserve"> c=2</t>
  </si>
  <si>
    <t>Projekto veiklos</t>
  </si>
  <si>
    <t>Pagrindinė veiklų grupė (pavadinimas)</t>
  </si>
  <si>
    <t>Susijusi veiklų grupė (I) (pavadinimas)</t>
  </si>
  <si>
    <t>Kodas (II)</t>
  </si>
  <si>
    <t>Susijusi veiklų grupė (II) (pavadinimas)</t>
  </si>
  <si>
    <t>Kodas (III)</t>
  </si>
  <si>
    <t>Susijusi veiklų grupė (III) (pavadinimas)</t>
  </si>
  <si>
    <t>Kodas (IV)</t>
  </si>
  <si>
    <t>Susijusi veiklų grupė (IV) (pavadinimas)</t>
  </si>
  <si>
    <t>Vertinimo kriterijai</t>
  </si>
  <si>
    <t>Kodas (I)*****</t>
  </si>
  <si>
    <t>Produkto vertinimo kriterijus (I) (pavadinimas)</t>
  </si>
  <si>
    <t>Siekiama reikšmė (I)</t>
  </si>
  <si>
    <t>Produkto vertinimo kriterijus (II) (pavadinimas)</t>
  </si>
  <si>
    <t>Siekiama reikšmė (II)</t>
  </si>
  <si>
    <t>Produkto vertinimo kriterijus (III) (pavadinimas)</t>
  </si>
  <si>
    <t>Siekiama reikšmė (III)</t>
  </si>
  <si>
    <t>Produkto vertinimo kriterijus (IV) (pavadinimas)</t>
  </si>
  <si>
    <t>Siekiama reikšmė (IV)</t>
  </si>
  <si>
    <t xml:space="preserve">b=4 </t>
  </si>
  <si>
    <t>c=3</t>
  </si>
  <si>
    <t>a=6</t>
  </si>
  <si>
    <t xml:space="preserve"> b=5 </t>
  </si>
  <si>
    <t>c=4</t>
  </si>
  <si>
    <t xml:space="preserve">a=9 </t>
  </si>
  <si>
    <t xml:space="preserve">a=18 </t>
  </si>
  <si>
    <t xml:space="preserve">b=9 </t>
  </si>
  <si>
    <t xml:space="preserve">a=23 </t>
  </si>
  <si>
    <t>c=9</t>
  </si>
  <si>
    <t xml:space="preserve">a=28 </t>
  </si>
  <si>
    <t>b=18</t>
  </si>
  <si>
    <t xml:space="preserve"> c=9</t>
  </si>
  <si>
    <t xml:space="preserve">a=6 </t>
  </si>
  <si>
    <t xml:space="preserve"> c=3</t>
  </si>
  <si>
    <t xml:space="preserve">a=44 </t>
  </si>
  <si>
    <t xml:space="preserve">b=22 </t>
  </si>
  <si>
    <t>c=6</t>
  </si>
  <si>
    <t xml:space="preserve">a=86 </t>
  </si>
  <si>
    <t xml:space="preserve">b=60 </t>
  </si>
  <si>
    <t>c=40</t>
  </si>
  <si>
    <t xml:space="preserve">a=21 </t>
  </si>
  <si>
    <t xml:space="preserve">b=15 </t>
  </si>
  <si>
    <t xml:space="preserve">a=69 </t>
  </si>
  <si>
    <t xml:space="preserve">b=40 </t>
  </si>
  <si>
    <t>c=20</t>
  </si>
  <si>
    <t xml:space="preserve">b=13 </t>
  </si>
  <si>
    <t>c=11</t>
  </si>
  <si>
    <t xml:space="preserve">a=46 </t>
  </si>
  <si>
    <t xml:space="preserve">b=41 </t>
  </si>
  <si>
    <t>c=37</t>
  </si>
  <si>
    <t>b=4</t>
  </si>
  <si>
    <t xml:space="preserve">a=35 </t>
  </si>
  <si>
    <t xml:space="preserve">b=55 </t>
  </si>
  <si>
    <t>c=70</t>
  </si>
  <si>
    <t xml:space="preserve">a=10 </t>
  </si>
  <si>
    <t xml:space="preserve">b=8 </t>
  </si>
  <si>
    <t>Kodas (I)****</t>
  </si>
  <si>
    <t>Tikslas. Mažinti išsivystymo skirtumus regiono viduje, skatinti ūkinės veiklos įvairovę mieste ir kaime, didinti ekonomikos augimą.</t>
  </si>
  <si>
    <t>Uždavinys. Vystyti tikslines teritorijas, padidinti ūkinės veiklos įvairovę, pagerinti sukurtų darbo vietų pasiekiamumą.</t>
  </si>
  <si>
    <t>Priemonė: Kaimo (1-6 tūkst. Gyventojų) gyvenamųjų vietovių atnaujinimas</t>
  </si>
  <si>
    <t>Šilalės rajono Kvėdarnos gyvenamosios vietovės atnaujinimas</t>
  </si>
  <si>
    <t>ŠRSA</t>
  </si>
  <si>
    <t>VRM</t>
  </si>
  <si>
    <t>Kvėdarna</t>
  </si>
  <si>
    <t>08.2.1-CPVA-R-908</t>
  </si>
  <si>
    <t>R</t>
  </si>
  <si>
    <t>P.S.364</t>
  </si>
  <si>
    <t>Naujos atviros erdvės vietovėse nuo 1 iki 6 tūkst. gyv. (išskyrus savivaldybių centrus) (m2)</t>
  </si>
  <si>
    <t>P.S.365</t>
  </si>
  <si>
    <t>Atnaujinti ir pritaikyti naujai paskirčiai pastatai ir statiniai kaimo vietovėse (m2)</t>
  </si>
  <si>
    <t>Skaudvilės miesto infrastruktūros sutvarkymas</t>
  </si>
  <si>
    <t>TRSA</t>
  </si>
  <si>
    <t>Skaudvilė</t>
  </si>
  <si>
    <t>Priemonė: Miestų kompleksinė plėtra</t>
  </si>
  <si>
    <t>Pagėgių miesto Turgaus aikštės įrengimas ir jos prieigų sutvarkymas</t>
  </si>
  <si>
    <t>PSA</t>
  </si>
  <si>
    <t>Pagėgiai</t>
  </si>
  <si>
    <t xml:space="preserve">07.1.1-CPVA-R-905 </t>
  </si>
  <si>
    <t>ITI</t>
  </si>
  <si>
    <t>P.B.238</t>
  </si>
  <si>
    <t>Sukurtos arba atnaujintos atviros erdvės miestų vietovėse (m2)</t>
  </si>
  <si>
    <t>P.B.239</t>
  </si>
  <si>
    <t>Apleistos teritorijos už Kultūros centro Pagėgių mieste konversija ir pritaikymas rekreaciniams, poilsio ir sveikatinimo poreikiams</t>
  </si>
  <si>
    <t>1.1.1.3</t>
  </si>
  <si>
    <t>Priemonė: Pereinamojo laikotarpio tikslinių teritorijų vystymas. I</t>
  </si>
  <si>
    <t>1.1.1.3.1</t>
  </si>
  <si>
    <t>Apleistos teritorijos Tauragės miesto buvusiame kariniame  miestelyje viešųjų pastatų sutvarkymas ir pritaikymas  bendruomenės poreikiams</t>
  </si>
  <si>
    <t>Tauragės miestas</t>
  </si>
  <si>
    <t xml:space="preserve">07.1.1-CPVA-V-902 </t>
  </si>
  <si>
    <t>V</t>
  </si>
  <si>
    <t>Kitos viešosios infrastruktūros modernizavimas (pastatai
ir statiniai): bendruomenės, nevyriausybinių
organizacijų veiklai pritaikomi pastatai</t>
  </si>
  <si>
    <t>1.1.1.4</t>
  </si>
  <si>
    <t>Priemonė: Pereinamojo laikotarpio tikslinių teritorijų vystymas. II</t>
  </si>
  <si>
    <t>1.1.1.4.1</t>
  </si>
  <si>
    <t>Gyvenamųjų namų kvartalų kompleksinis sutvarkymas Jurbarko mieste</t>
  </si>
  <si>
    <t>JRSA</t>
  </si>
  <si>
    <t>Jurbarkas</t>
  </si>
  <si>
    <t xml:space="preserve">07.1.1-CPVA-R-903 </t>
  </si>
  <si>
    <t>Uždavinys. Mažinti atskirtį tarp miesto ir kaimo, remti kompleksišką kaimo atnaujinimą ir plėtrą,  gerinti kaimo gyvenamąją aplinką, didinti gyventojų užimtumą ir saugumą.</t>
  </si>
  <si>
    <t>1.1.2.1</t>
  </si>
  <si>
    <t>Priemonė: Pagrindinės paslaugos ir kaimų atnaujinimas kaimo vietovėse</t>
  </si>
  <si>
    <t>Kita (nepriskirta kitoms grupėms)</t>
  </si>
  <si>
    <t>Tikslas. Pagerinti sąlygas investicijų pritraukimui, sudaryti palankią aplinką verslui vystytis, ekonominės veiklos efektyvumui didinti.</t>
  </si>
  <si>
    <t>Uždavinys. Tobulinti susisiekimo sistemas regione, vystyti ekologiškai darnią transporto infrastruktūrą, padidinti darbo jėgos judumą, gerinti eismo saugumą.</t>
  </si>
  <si>
    <t>1.2.1.1</t>
  </si>
  <si>
    <t>Priemonė: Vietinių kelių techninių parametrų ir eismo saugos gerinimas</t>
  </si>
  <si>
    <t>1.2.1.1.1</t>
  </si>
  <si>
    <t>Eismo saugumo priemonių diegimas Šilalės mieste ir rajono gyvenvietėse</t>
  </si>
  <si>
    <t>SM</t>
  </si>
  <si>
    <t>Šilalės r.</t>
  </si>
  <si>
    <t>06.2.1-TID-R-511</t>
  </si>
  <si>
    <t>Darnaus judumo priemonės miestuose (pėsčiųjų ir dviračių takų infrastruktūra, Park and Ride, Bike and Ride aikštelės, elektromobilių įkrovimo stotelių įrengimas ir kita)</t>
  </si>
  <si>
    <t>P.S.342</t>
  </si>
  <si>
    <t>Įdiegtos saugų eismą gerinančios ir aplinkosaugos priemonės</t>
  </si>
  <si>
    <t>1.2.1.1.2</t>
  </si>
  <si>
    <t>Jaunimo ir Rambyno gatvių Pagėgiuose infrastruktūros sutvarkymas</t>
  </si>
  <si>
    <t>Pagėgių miestas</t>
  </si>
  <si>
    <t>P.B.214</t>
  </si>
  <si>
    <t>Bendras rekonstruotų arba atnaujintų kelių ilgis (km)</t>
  </si>
  <si>
    <t>P.N.508</t>
  </si>
  <si>
    <t>Bendras naujai nutiestų kelių ilgis (km)</t>
  </si>
  <si>
    <t>1.2.1.1.3</t>
  </si>
  <si>
    <t>A. Giedraičio-Giedriaus gatvės rekonstravimas Jurbarko mieste</t>
  </si>
  <si>
    <t>Jurbarko miestas</t>
  </si>
  <si>
    <t>1.2.1.1.4</t>
  </si>
  <si>
    <t>Eismo saugos priemonių diegimas Jurbarko miesto Lauko gatvėje</t>
  </si>
  <si>
    <t>1.2.1.1.5</t>
  </si>
  <si>
    <t>Tauragės miesto gatvių rekonstrukcija (Žemaitės, Smėlynų g. ir Smėlynų skg.)</t>
  </si>
  <si>
    <t>1.2.1.2</t>
  </si>
  <si>
    <t>Priemonė: Darnaus judumo priemonių diegimas</t>
  </si>
  <si>
    <t>1.2.1.2.1</t>
  </si>
  <si>
    <t>Darnaus judumo priemonių diegimas Tauragės mieste</t>
  </si>
  <si>
    <t>04.5.1-TID-R-514</t>
  </si>
  <si>
    <t>Darnaus judumo priemonės miestuose (pėsčiųjų ir
dviračių takų infrastruktūra, Park and Ride, Bike and
Ride aikštelės, elektromobilių įkrovimo stotelių
įrengimas ir kita)</t>
  </si>
  <si>
    <t>P.S.323</t>
  </si>
  <si>
    <t>Įgyvendintos darnaus judumo priemonės (vnt.)</t>
  </si>
  <si>
    <t>1.2.1.2.2</t>
  </si>
  <si>
    <t xml:space="preserve">Tauragės miesto darnaus judumo plano parengimas </t>
  </si>
  <si>
    <t>04.5.1-TID-V-513</t>
  </si>
  <si>
    <t>P.N.507</t>
  </si>
  <si>
    <t>Parengti darnaus judumo mieste planai</t>
  </si>
  <si>
    <t>1.2.1.3</t>
  </si>
  <si>
    <t>Priemonė: Pėsčiųjų ir dviračių takų rekonstrukcija ir plėtra</t>
  </si>
  <si>
    <t>1.2.1.3.1</t>
  </si>
  <si>
    <t>Pėsčiųjų tako Vytauto Didžiojo gatvėje  Šilalės m. rekonstrukcija</t>
  </si>
  <si>
    <t>Šilalė</t>
  </si>
  <si>
    <t xml:space="preserve">04.5.1-TID-R-516 </t>
  </si>
  <si>
    <t>P.S.322</t>
  </si>
  <si>
    <t>Rekonstruotų dviračių ir / ar pėsčiųjų takų ir / ar trasų ilgis (km)</t>
  </si>
  <si>
    <t>1.2.1.3.2</t>
  </si>
  <si>
    <t>Pėsčiųjų ir dviračių takų įrengimas prie Jankaus gatvės Pagėgiuose</t>
  </si>
  <si>
    <t>P.S.321</t>
  </si>
  <si>
    <t>Įrengtų naujų dviračių ir / ar pėsčiųjų takų ir / ar trasų ilgis (km)</t>
  </si>
  <si>
    <t>1.2.1.3.3</t>
  </si>
  <si>
    <t>Pėsčiųjų ir dviračių tako įrengimas Jurbarko miesto Barkūnų gatvėje</t>
  </si>
  <si>
    <t>1.2.1.3.4</t>
  </si>
  <si>
    <t>Pėsčiųjų ir dviračių tako įrengimas iki Norkaičių gyvenvietės</t>
  </si>
  <si>
    <t>Tauragės rajonas</t>
  </si>
  <si>
    <t>1.2.1.4</t>
  </si>
  <si>
    <t>Priemonė: Vietinio susisiekimo viešojo transporto priemonių parko atnaujinimas</t>
  </si>
  <si>
    <t>1.2.1.4.1</t>
  </si>
  <si>
    <t>Tauragės miesto viešojo susisiekimo parko transporto priemonių atnaujinimas</t>
  </si>
  <si>
    <t>04.5.1-TID-R-518</t>
  </si>
  <si>
    <t>P.S.325</t>
  </si>
  <si>
    <t>Įsigytos naujos ekologiškos viešojo transporto priemonės</t>
  </si>
  <si>
    <t>Uždavinys. Modernizuoti kultūros įstaigų fizinę ir informacinę infrastruktūrą, kultūros paslaugoms pritaikyti  kultūros paveldo objektus ir netradicines erdves,  didinti paslaugų prieinamumą.</t>
  </si>
  <si>
    <t>1.2.2.1</t>
  </si>
  <si>
    <t>Priemonė: Modernizuoti savivaldybių kultūros infrastruktūrą</t>
  </si>
  <si>
    <t>1.2.2.1.1</t>
  </si>
  <si>
    <t>Tauragės krašto muziejaus modernizavimas</t>
  </si>
  <si>
    <t>KM</t>
  </si>
  <si>
    <t>07.1.1-CPVA-R-305</t>
  </si>
  <si>
    <t>P.N.304</t>
  </si>
  <si>
    <t>Modernizuoti kultūros infrastruktūros objektai (vnt.)</t>
  </si>
  <si>
    <t>1.2.2.1.2</t>
  </si>
  <si>
    <t>Jurbarko kultūros centro modernizavimas</t>
  </si>
  <si>
    <t>1.2.2.2</t>
  </si>
  <si>
    <t>Priemonė: Aktualizuoti savivaldybių kultūros paveldo objektus</t>
  </si>
  <si>
    <t>1.2.2.2.1</t>
  </si>
  <si>
    <t>Pastatų komplekso, vad. Tauragės pilimi (adresu S. Dariaus ir S. Girėno g. 5, Tauragė; unikalus Nr. 1665), kompleksinis atnaujinimas (I etapas: kultūros paveldo savybių išsaugojimas ir pritaikymas bendruomeniniams poreikiams)</t>
  </si>
  <si>
    <t>05.4.1-CPVA-R-302</t>
  </si>
  <si>
    <t>P.S.335</t>
  </si>
  <si>
    <t>Sutvarkyti, įrengti ir pritaikyti lankymui gamtos ir kultūros paveldo objektai ir teritorijos (vnt.)</t>
  </si>
  <si>
    <t>P.B.209</t>
  </si>
  <si>
    <t>Numatomo apsilankymų remiamuose kultūros ir gamtos paveldo objektuose bei turistų traukos vietose skaičiaus padidėjimas  (apsilankymai per metus)</t>
  </si>
  <si>
    <t>1.2.2.2.2</t>
  </si>
  <si>
    <t>Požerės Kristaus Atsimainymo bažnyčios komplekso aktualizavimas vietos bendruomenės poreikiams</t>
  </si>
  <si>
    <t>Požerės k.</t>
  </si>
  <si>
    <t>1.2.2.2.3</t>
  </si>
  <si>
    <t xml:space="preserve">Buvusio Kristijono Donelaičio gimnazijos pastato Vilniaus g. 46, Pagėgiai, aktų salės ir vidaus laiptų paveldosaugos vertingųjų savybių sutvarkymas </t>
  </si>
  <si>
    <t xml:space="preserve">Kultūros paveldo objektų sutvarkymas ir pritaikymas
</t>
  </si>
  <si>
    <t>1.2.2.2.4</t>
  </si>
  <si>
    <t>Mažosios Lietuvos Jurbarko krašto kultūros centro aktualizavimas</t>
  </si>
  <si>
    <t>Jurbarko rajonas</t>
  </si>
  <si>
    <t xml:space="preserve">Uždavinys. Vykdyti informacines marketingo priemones, skatinančias viešąsias ir privačias investicijas  į rekreacijos ir turizmo sistemos plėtrą, gerinti turizmo įvaizdį ir didinti paslaugų prieinamumą.  </t>
  </si>
  <si>
    <t>1.2.3.1</t>
  </si>
  <si>
    <t>Priemonė: Savivaldybes jungiančių turizmo trasų ir turizmo maršrutų informacinės infrastruktūros plėtra</t>
  </si>
  <si>
    <t>1.2.3.1.1</t>
  </si>
  <si>
    <t>Savivaldybes jungiančių turizmo trąsų ir turizmo maršrutų infrastruktūros plėtra Tauragės regione</t>
  </si>
  <si>
    <t>ŪM</t>
  </si>
  <si>
    <t>Tauragės apskritis</t>
  </si>
  <si>
    <t>05.4.1-LVPA-R-821</t>
  </si>
  <si>
    <t>P.N.817</t>
  </si>
  <si>
    <t>Įrengti ženklinimo infrastruktūros objektai</t>
  </si>
  <si>
    <t xml:space="preserve">Tikslas. Gerinti viešųjų sveikatos apsaugos, švietimo ir socialinių paslaugų teikimo kokybę, didinti jų prieinamumą gyventojams. </t>
  </si>
  <si>
    <t>Uždavinys. Padidinti bendrojo ugdymo, priešmokyklinio ir ikimokyklinio bei neformaliojo švietimo įstaigų tinklo efektyvumą, plėtoti vaikų ir jaunimo ugdymo galimybes ir prieinamumą.</t>
  </si>
  <si>
    <t>2.1.1.1</t>
  </si>
  <si>
    <t>Priemonė: Mokyklų tinklo efektyvumo didinimas „Modernizuoti bendrojo ugdymo įstaigas ir aprūpinti jas gamtos, technologijų, menų ir kitų mokslų laboratorijų įranga“</t>
  </si>
  <si>
    <t>2.1.1.1.1</t>
  </si>
  <si>
    <t>Šilalės Simono Gaudėšiaus gimnazijos  pastato dalies patalpų modernizavimas ir aprūpinimas įranga</t>
  </si>
  <si>
    <t>ŠMM</t>
  </si>
  <si>
    <t>Šilalės m.</t>
  </si>
  <si>
    <t>09.1.3-CPVA-R-724</t>
  </si>
  <si>
    <t>P.B.235</t>
  </si>
  <si>
    <t>Investicijas gavusios vaikų priežiūros arba švietimo infrastruktūros pajėgumas (skaičius)</t>
  </si>
  <si>
    <t>P.N.722</t>
  </si>
  <si>
    <t>Pagal veiksmų programą ERPF lėšomis atnaujintos bendrojo ugdymo mokyklos (skaičius)</t>
  </si>
  <si>
    <t>2.1.1.1.2</t>
  </si>
  <si>
    <t>Mokyklo tinklo efektyvumo didinimas Pagėgių Algimanto Mackaus gimnazijoje</t>
  </si>
  <si>
    <t>2.1.1.1.3</t>
  </si>
  <si>
    <t>Ikimokyklinio ir priešmokyklinio ugdymo patalpų įrengimas Eržvilko gimnazijoje</t>
  </si>
  <si>
    <t>P.S.380</t>
  </si>
  <si>
    <t>Pagal veiksmų programą ERPF lėšomis sukurtos naujos ikimokyklinio ir priešmokyklinio ugdymo vietos</t>
  </si>
  <si>
    <t>2.1.1.1.4</t>
  </si>
  <si>
    <t>Tauragės Martyno Mažvydo progimnazijos modernizavimas</t>
  </si>
  <si>
    <t>2.1.1.2</t>
  </si>
  <si>
    <t>Priemonė: Neformaliojo švietimo infrastruktūros tobulinimas „Plėtoti vaikų ir jauninimo neformaliojo ugdymo galimybes (ypač kaimo vietovėse)“</t>
  </si>
  <si>
    <t>2.1.1.2.1</t>
  </si>
  <si>
    <t>Neformaliojo švietimo infrastruktūros tobulinimas Pagėgių meno ir sporto mokykloje</t>
  </si>
  <si>
    <t>09.1.3-CPVA-R-725</t>
  </si>
  <si>
    <t>P.N.723</t>
  </si>
  <si>
    <t>Pagal veiksmų programą ERPF lėšomis atnaujintos neformaliojo ugdymo mokyklos (skaičius)</t>
  </si>
  <si>
    <t>2.1.1.2.2</t>
  </si>
  <si>
    <t>Jurbarko Antano Sodeikos meno mokyklos atnaujinimas ir pritaikymas neformaliajam ugdymui</t>
  </si>
  <si>
    <t>2.1.1.2.3</t>
  </si>
  <si>
    <t>Vaikų ir jaunimo neformalaus ugdymosi galimybių plėtra Tauragės Moksleivių kūrybos centre</t>
  </si>
  <si>
    <t>2.1.1.2.4</t>
  </si>
  <si>
    <t>Šilalės meno mokyklos infrastruktūros tobulinimas plėtojant vaikų ir jaunimo neformaliojo ugdymo galimybes</t>
  </si>
  <si>
    <t>Šilalės meno mokykla</t>
  </si>
  <si>
    <t>2.1.1.3</t>
  </si>
  <si>
    <t>Priemonė: Ikimokyklinio ir priešmokyklinio ugdymo prieinamumo didinimas</t>
  </si>
  <si>
    <t>2.1.1.3.1</t>
  </si>
  <si>
    <t>Ikimokyklinio ugdymo prieinamumo didinimas Šilalės mieste</t>
  </si>
  <si>
    <t>09.1.3-CPVA-R-705</t>
  </si>
  <si>
    <t>Ikimokyklinio ar priešmokyklinio ugdymo įstaigų
modernizavimas</t>
  </si>
  <si>
    <t>P.N.717</t>
  </si>
  <si>
    <t>Pagal veiksmų programą ERPF lėšomis atnaujintos ikimokyklinio ir priešmokyklinio ugdymo mokyklos</t>
  </si>
  <si>
    <t>2.1.1.3.2</t>
  </si>
  <si>
    <t>Ikimokyklinio ir priešmokyklinio ugdymo prieinamumo didinimas Rotulių lopšelyje-darželyje</t>
  </si>
  <si>
    <t>P.N.743</t>
  </si>
  <si>
    <t>Pagal veiksmų programą ERPF lėšomis atnaujintos ikimokyklinio ir/ar priešmokyklinio ugdymo grupės</t>
  </si>
  <si>
    <t>2.1.1.3.3</t>
  </si>
  <si>
    <t>Ikimokyklinio ir priešmokyklinio ugdymo prieinamumo didinimas, modernizuojant Tauragės vaikų reabilitacijos centro-mokyklos "Pušelė“ ugdymo aplinką</t>
  </si>
  <si>
    <t>Uždavinys. Gerinti sveikatos priežiūros įstaigų infrastruktūrą, kelti paslaugų kokybę ir jų prieinamumą (ypač tikslinėms grupėms), diegti sveiko senėjimo procesą regione.</t>
  </si>
  <si>
    <t>2.1.2.1</t>
  </si>
  <si>
    <t>Priemonė: Sveikos gyvensenos skatinimas Tauragės regione</t>
  </si>
  <si>
    <t>2.1.2.1.1</t>
  </si>
  <si>
    <t>Sveikos gyvensenos skatinimas Pagėgių savivaldybėje</t>
  </si>
  <si>
    <t>SAM</t>
  </si>
  <si>
    <t>Pagėgių savivalybė</t>
  </si>
  <si>
    <t>08.4.2-ESFA-R-630</t>
  </si>
  <si>
    <t>P.S.372</t>
  </si>
  <si>
    <t>Tikslinių grupių asmenys, kurie dalyvauja informavimo, švietimo ir mokymo renginiuose bei sveikatos raštingumą didinančiose veiklose</t>
  </si>
  <si>
    <t>2.1.2.1.2</t>
  </si>
  <si>
    <t xml:space="preserve">Jurbarko rajono gyventojų sveikos gyvensenos skatinimas  </t>
  </si>
  <si>
    <t>JRS VSB</t>
  </si>
  <si>
    <t>P.N.671</t>
  </si>
  <si>
    <t>Modernizuoti savivaldybių visuomenės sveikatos biurai</t>
  </si>
  <si>
    <t>2.1.2.1.3</t>
  </si>
  <si>
    <t>Sveikam gyvenimui sakome - TAIP!</t>
  </si>
  <si>
    <t>TRS VSB</t>
  </si>
  <si>
    <t xml:space="preserve">Tauragės raj.  </t>
  </si>
  <si>
    <t>Tikslinių grupių asmenys, kurie dalyvavo informavimo, švietimo ir mokymo renginiuose bei sveikatos raštingumą didinančiose veiklose</t>
  </si>
  <si>
    <t>2.1.2.1.4</t>
  </si>
  <si>
    <t>Šilalės rajono gyventojų sveikatos stiprinimas ir sveikos gyvensenos ugdymas</t>
  </si>
  <si>
    <t>ŠRS VSB</t>
  </si>
  <si>
    <t xml:space="preserve">Šilalės raj.  </t>
  </si>
  <si>
    <t>Tikslinių grupių asmenys, kurie dalyvavo informavimo, švietimo ir mokymo renginiuose bei sveikatos raštingumą didinačiose veiklose (skaičius)</t>
  </si>
  <si>
    <t>2.1.2.2</t>
  </si>
  <si>
    <t>Priemonė: Priemonių, gerinančių ambulatorinių sveikatos priežiūros paslaugų prieinamumą tuberkulioze sergantiems asmenims, įgyvendinimas</t>
  </si>
  <si>
    <t>2.1.2.3</t>
  </si>
  <si>
    <t>Priemonė: Pirminės asmens sveikatos priežiūros veiklos efektyvumo didinimas</t>
  </si>
  <si>
    <t>Uždavinys. Padidinti regiono savivaldybių socialinio būsto fondą, pagerinti bendruomenėje teikiamų socialinių paslaugų kokybę ir išplėsti jų prieinamumą.</t>
  </si>
  <si>
    <t>2.1.3.1</t>
  </si>
  <si>
    <t>Priemonė: Socialinių paslaugų infrastruktūros plėtra</t>
  </si>
  <si>
    <t>2.1.3.1.1</t>
  </si>
  <si>
    <t>Savarankiško gyvenimo namų plėtra  senyvo amžiaus asmenims ir (ar) asmenims su negalia  Šventupio g. 3, Šiauduvoje, Šilalės r.</t>
  </si>
  <si>
    <t>SADM</t>
  </si>
  <si>
    <t>Šiauduvos gyv.</t>
  </si>
  <si>
    <t>P.S.361</t>
  </si>
  <si>
    <t>Investicijas gavę socialinių paslaugų infrastruktūros objektai (vnt.)</t>
  </si>
  <si>
    <t>R.N.403</t>
  </si>
  <si>
    <t xml:space="preserve">Tikslinių grupių asmenys, gavę tiesioginės naudos iš investicijų į socialinių paslaugų infrastruktūrą </t>
  </si>
  <si>
    <t>R.N.404</t>
  </si>
  <si>
    <t xml:space="preserve">Investicijas gavusiose įstaigose esančios vietos socialinių paslaugų gavėjams </t>
  </si>
  <si>
    <t>2.1.3.1.2</t>
  </si>
  <si>
    <t>Modernizuoti veikiančius palaikomojo gydymo, slaugos ir senelių globos namus Pagėgiuose</t>
  </si>
  <si>
    <t>2.1.3.1.3</t>
  </si>
  <si>
    <t>Socialinių paslaugų įstaigos modernizavimas ir paslaugų plėtra Jurbarko rajone</t>
  </si>
  <si>
    <t>2.1.3.1.4</t>
  </si>
  <si>
    <t xml:space="preserve"> Nestacionarių socialinių paslaugų infrastruktūros plėtra Tauragės rajono savivaldybėje</t>
  </si>
  <si>
    <t>BĮ "Tauragės socialinių paslaugų centras"</t>
  </si>
  <si>
    <t>2.1.3.2</t>
  </si>
  <si>
    <t>Priemonė: Socialinio būsto fondo plėtra</t>
  </si>
  <si>
    <t>2.1.3.2.1</t>
  </si>
  <si>
    <t>Dalies pastato, esančio Dariaus ir Girėno g. 19A, Pajūrio mstl., Šilalės r., pritaikymas socialinio būsto fondo plėtrai</t>
  </si>
  <si>
    <t>Pajūrio mstl.</t>
  </si>
  <si>
    <t>08.1.2-CPVA-R-408</t>
  </si>
  <si>
    <t>P.S.362</t>
  </si>
  <si>
    <t>Naujai įrengtų ar įsigytų socialinių būstų skaičius</t>
  </si>
  <si>
    <t>2.1.3.2.2</t>
  </si>
  <si>
    <t>Socialinio būsto fondo plėtra Pagėgių savivaldybėje</t>
  </si>
  <si>
    <t>Pagėgių savivaldybė</t>
  </si>
  <si>
    <t>2.1.3.2.3</t>
  </si>
  <si>
    <t>Socialinio būsto plėtra  Jurbarko rajono savivaldybėje</t>
  </si>
  <si>
    <t>Naujai įrengti ar įsigyti socialiniai būstai (vnt.)</t>
  </si>
  <si>
    <t>2.1.3.2.4</t>
  </si>
  <si>
    <t>Socialinio būsto fondo plėtra Tauragės rajono savivaldybėje</t>
  </si>
  <si>
    <t xml:space="preserve">naujai įrengtų ar įsigytų socialinių būstų skaičius </t>
  </si>
  <si>
    <t xml:space="preserve">Tikslas. Tobulinti viešąjį valdymą savivaldybėse, didinant jo atitikimą visuomenės poreikiams. </t>
  </si>
  <si>
    <t xml:space="preserve">Uždavinys. Stiprinti regiono viešojo valdymo darbuotojų kompetenciją, didinti jų veiklos efektyvumą ir gerinti teikiamų paslaugų kokybę.  </t>
  </si>
  <si>
    <t>2.2.1.1</t>
  </si>
  <si>
    <t>Priemonė: Paslaugų ir asmenų aptarnavimo kokybės gerinimas savivaldybėse</t>
  </si>
  <si>
    <t>2.2.1.1.1</t>
  </si>
  <si>
    <t>Paslaugų teikimo ir asmenų aptarnavimo kokybės gerinimas Tauragės regiono savivaldybėse. I etapas</t>
  </si>
  <si>
    <t>10.1.3-ESFA-R-920</t>
  </si>
  <si>
    <t>P.S.416</t>
  </si>
  <si>
    <t>Viešojo valdymo institucijų darbuotojai, kurie dalyvavo pagal veiksmų programą  ESF lėšomis vykdytose veiklose, skirtose stiprinti teikiamų paslaugų ir (ar) aptarnavimo kokybės gerinimui reikalingas kompetencijas</t>
  </si>
  <si>
    <t>P.S.415</t>
  </si>
  <si>
    <t>Viešojo valdymo institucijos, pagal veiksmų programą ESF lėšomis įgyvendinusios paslaugų ir (ar) aptarnavimo kokybei gerinti skirtas priemones</t>
  </si>
  <si>
    <t>2.2.1.1.2</t>
  </si>
  <si>
    <t>Paslaugų teikimo ir asmenų aptarnavimo kokybės gerinimas Tauragės regiono savivaldybėse. II etapas</t>
  </si>
  <si>
    <t>P.N.910</t>
  </si>
  <si>
    <t>Parengtos piliečių chartijos</t>
  </si>
  <si>
    <t>Tikslas. Diegti sveiką gyvenamąją aplinką kuriančias vandentvarkos ir atliekų tvarkymo sistemas, didinti paslaugų kokybę ir prieinamumą.</t>
  </si>
  <si>
    <t xml:space="preserve">Uždavinys. Plėsti, renovuoti ir modernizuoti geriamojo vandens ir nuotekų, paviršinių nuotekų surinkimo infrastruktūrą, gerinti teikiamų paslaugų  kokybę.  </t>
  </si>
  <si>
    <t>3.1.1.1</t>
  </si>
  <si>
    <t>Priemonė: Geriamojo vandens tiekimo ir nuotekų tvarkymo sistemų renovavimas ir plėtra, įmonių valdymo tobulinimas</t>
  </si>
  <si>
    <t>3.1.1.1.1</t>
  </si>
  <si>
    <t>Vandentiekio ir nuotekų tinklų rekonstrukcija ir plėtra Šilalės rajone (Kaltinėnuose)</t>
  </si>
  <si>
    <t>UAB „Šilalės vandenys“</t>
  </si>
  <si>
    <t>AM</t>
  </si>
  <si>
    <t>Šilalės rajonas</t>
  </si>
  <si>
    <t>05.3.2-APVA-R-014</t>
  </si>
  <si>
    <t xml:space="preserve">Vandentvarka (esamų geriamo vandens ir nuotekų tinklų modernizavimas) </t>
  </si>
  <si>
    <t>P.S.333</t>
  </si>
  <si>
    <t>Rekonstruotų vandens tiekimo ir nuotekų surinkimo tinklų ilgis (km)</t>
  </si>
  <si>
    <t>P.N.050</t>
  </si>
  <si>
    <t>Gyventojai, kuriems teikiamos vandens tiekimo paslaugos naujai pastatytais geriamojo vandens tiekimo tinklais (skaičius)</t>
  </si>
  <si>
    <t>P.N.053</t>
  </si>
  <si>
    <t>Gyventojai, kuriems teikiamos paslaugos naujai pastatytais nuotekų surinkimo tinklais (GE)</t>
  </si>
  <si>
    <t>3.1.1.1.2</t>
  </si>
  <si>
    <t>Vandens tiekimo ir nuotekų tvarkymo infrastruktūros renovavimas ir plėtra Pagėgių savivaldybėje (Natkiškiuose, Piktupėnuose)</t>
  </si>
  <si>
    <t>UAB Pagėgių komunalinis ūkis</t>
  </si>
  <si>
    <t>P.N.054</t>
  </si>
  <si>
    <t>Gyventojai, kuriems teikiamos nuotekų valymo paslaugos naujai pastatytais ir (arba) rekonstruotais nuotekų valymo įrenginiais (GE)</t>
  </si>
  <si>
    <t>3.1.1.1.3</t>
  </si>
  <si>
    <t>Vandens tiekimo ir nuotekų tvarkymo infrastruktūros plėtra Jurbarko rajone</t>
  </si>
  <si>
    <t>UAB „Jurbarko vandenys“</t>
  </si>
  <si>
    <t>P.N.051</t>
  </si>
  <si>
    <t>Gyventojai, kuriems teikiamos vandens tiekimo paslaugos iš naujai pastatytų ir (arba) rekonstruotų geriamojo vandens gerinimo įrenginių (skaičius)</t>
  </si>
  <si>
    <t>3.1.1.1.4</t>
  </si>
  <si>
    <t>Geriamojo vandens tiekimo ir nuotekų tvarkymo sistemų renovavimas ir plėtra Tauragės rajone</t>
  </si>
  <si>
    <t>UAB „Tauragės vandenys“</t>
  </si>
  <si>
    <t>Vandentvarka (esamų geriamo vandens ir nuotekų tinklų
modernizavimas)</t>
  </si>
  <si>
    <t>3.1.1.1.5</t>
  </si>
  <si>
    <t xml:space="preserve">Geriamojo vandens tiekimo ir nuotekų tvarkymo sistemų renovavimas ir plėtra Šilalės rajone (Kaltinėnuose, Traksėdyje) </t>
  </si>
  <si>
    <t>3.1.1.1.6</t>
  </si>
  <si>
    <t>Nuotekų tinklų plėtra Pagėgių savivaldybėje (Mažaičiuose)</t>
  </si>
  <si>
    <t>3.1.1.1.7</t>
  </si>
  <si>
    <t>Vandens tiekimo ir nuotekų tvarkymo infrastruktūros plėtra Jurbarko mieste</t>
  </si>
  <si>
    <t>3.1.1.1.8</t>
  </si>
  <si>
    <t>Geriamojo vandens tiekimo ir nuotekų tvarkymo sistemų renovavimas ir plėtra Tauragės mieste</t>
  </si>
  <si>
    <t>3.1.1.2</t>
  </si>
  <si>
    <t>Priemonė: Paviršinių nuotekų sistemų tvarkymas</t>
  </si>
  <si>
    <t>3.1.1.2.1</t>
  </si>
  <si>
    <t>Paviršinių nuotekų sistemų  tvarkymas Tauragės mieste</t>
  </si>
  <si>
    <t>05.1.1-APVA-R-007</t>
  </si>
  <si>
    <t>P.S.328</t>
  </si>
  <si>
    <t>Lietaus nuotėkio plotas, iš kurio surenkamam paviršiniam (lietaus) vandeniui tvarkyti, įrengta ir (ar) rekonstruota infrastruktūra (ha)</t>
  </si>
  <si>
    <t>P.N.028</t>
  </si>
  <si>
    <t>Inventorizuota neapskaityto paviršinių nuotekų nuotakyno dalis (proc.)</t>
  </si>
  <si>
    <t>Uždavinys. Plėsti atliekų tvarkymo infrastruktūrą, mažinti sąvartyne šalinamų atliekų kiekį.</t>
  </si>
  <si>
    <t>3.1.2.1</t>
  </si>
  <si>
    <t>Priemonė: Komunalinių atliekų tvarkymo infrastruktūros plėtra</t>
  </si>
  <si>
    <t>3.1.2.1.1</t>
  </si>
  <si>
    <t>Tauragės regiono komunalinių atliekų tvarkymo infrastruktūros plėtra</t>
  </si>
  <si>
    <t>TRATC</t>
  </si>
  <si>
    <t>05.2.1-APVA-R-008</t>
  </si>
  <si>
    <t>P.S.329</t>
  </si>
  <si>
    <t>Sukurti /pagerinti atskiro komunalinių atliekų surinkimo pajėgumai (tonos per metus)</t>
  </si>
  <si>
    <t>Tikslas. Saugoti ir tausojančiai naudoti regiono kraštovaizdį, užtikrinant tinkamą jo planavimą, naudojimą ir tvarkymą.</t>
  </si>
  <si>
    <t>Uždavinys. Padidinti kraštovaizdžio planavimo, tvarkymo ir racionalaus naudojimo bei apsaugos efektyvumą.</t>
  </si>
  <si>
    <t>3.2.1.1</t>
  </si>
  <si>
    <t>Priemonė: Kraštovaizdžio apsauga</t>
  </si>
  <si>
    <t>3.2.1.1.1</t>
  </si>
  <si>
    <t>Kraštovaizdžio apsaugos gerinimas Pagėgių savivaldybėje</t>
  </si>
  <si>
    <t xml:space="preserve">05.5.1-APVA-R-019 </t>
  </si>
  <si>
    <t>P.N.091</t>
  </si>
  <si>
    <t>Teritorijų, kuriose įgyvendintos kraštovaizdžio formavimo priemonės (plotas)</t>
  </si>
  <si>
    <t>P.N.092</t>
  </si>
  <si>
    <t>Kraštovaizdžio ir (ar) gamtinio karkaso formavimo aspektais pakeisti ar pakoreguoti savivaldybių  ar jų dalių bendrieji planai ( skaičius)</t>
  </si>
  <si>
    <t>P.N.093</t>
  </si>
  <si>
    <t>Likviduoti kraštovaizdį darkantys bešeimininkiai apleisti statiniai ir įrenginiai (skaičius)</t>
  </si>
  <si>
    <t>P.S.338</t>
  </si>
  <si>
    <t>Išsaugoti, sutvarkyti ar atkurti įvairaus teritorinio lygmens kraštovaizdžio arealai (skaičius)</t>
  </si>
  <si>
    <t>3.2.1.1.2</t>
  </si>
  <si>
    <t>Bešeimininkių apleistų statinių likvidavimas Jurbarko rajone</t>
  </si>
  <si>
    <t>3.2.1.1.3</t>
  </si>
  <si>
    <t>Kraštovaizdžio formavimas Jurbarko rajone</t>
  </si>
  <si>
    <t>P.N.094</t>
  </si>
  <si>
    <t xml:space="preserve">Rekultivuotos atvirais kasiniais pažeistos žemės </t>
  </si>
  <si>
    <t>3.2.1.1.4</t>
  </si>
  <si>
    <t>Smalininkų uosto šlaitų ir pylimų tvarkymas</t>
  </si>
  <si>
    <t>rez.</t>
  </si>
  <si>
    <t>3.2.1.1.5</t>
  </si>
  <si>
    <t xml:space="preserve">Kraštovaizdžio formavimas ir ekologinės būklės gerinimas Tauragės mieste  </t>
  </si>
  <si>
    <t>Teritorijų, kuriose įgyvendintos kraštovaizdžio formavimo priemonės (plotas, ha)</t>
  </si>
  <si>
    <t>3.2.1.1.6</t>
  </si>
  <si>
    <t xml:space="preserve">Kraštovaizdžio formavimas  Šilalės mieste  </t>
  </si>
  <si>
    <t>3.2.1.1.7</t>
  </si>
  <si>
    <t>Šilalės rajono savivaldybės teritorijos bendrojo plano  gamtinio karkaso sprendinių koregavimas  ir bešeimininkių apleistų pastatų likvidavimas  rajone</t>
  </si>
  <si>
    <t>Prioritetas. Subalansuotas, darnia plėtra pagrįstas ekonominis augimas.</t>
  </si>
  <si>
    <t>1.1.2</t>
  </si>
  <si>
    <t>1.2</t>
  </si>
  <si>
    <t>1.2.1</t>
  </si>
  <si>
    <t>Prioritetas. Darni, sveika, besimokanti bendruomenė</t>
  </si>
  <si>
    <t>........</t>
  </si>
  <si>
    <t>Prioritetas. Žmogui patogi gyventi ir saugi aplinka</t>
  </si>
  <si>
    <t>1.2.2</t>
  </si>
  <si>
    <t>1.2.3</t>
  </si>
  <si>
    <t>2.</t>
  </si>
  <si>
    <t>2.1</t>
  </si>
  <si>
    <t>2.1.1</t>
  </si>
  <si>
    <t>2.1.2</t>
  </si>
  <si>
    <t>2.1.3</t>
  </si>
  <si>
    <t>2.2</t>
  </si>
  <si>
    <t>2.2.1</t>
  </si>
  <si>
    <t>3.</t>
  </si>
  <si>
    <t>3.1</t>
  </si>
  <si>
    <t>3.1.1</t>
  </si>
  <si>
    <t>3.1.2</t>
  </si>
  <si>
    <t>3.2</t>
  </si>
  <si>
    <t>3.2.1</t>
  </si>
  <si>
    <t>Sutarčių sumos pamečiui</t>
  </si>
  <si>
    <t>Metai</t>
  </si>
  <si>
    <t>Kaimo gyvenamųjų vietovių atnaujinimas</t>
  </si>
  <si>
    <t>Miestų kompleksinė plėtra</t>
  </si>
  <si>
    <t>Pereinamojo laikotarpio teritorijų vystymas. I</t>
  </si>
  <si>
    <t>Geriamojo vandens tiekimo ir nuotekų tvarkymo sistemų renovavimas ir plėtra, įmonių valdymo tobulinimas</t>
  </si>
  <si>
    <t>Paviršinių nuotekų sistemų tvarkymas</t>
  </si>
  <si>
    <t>Modernizuoti savivaldybių kultūros infrastruktūrą</t>
  </si>
  <si>
    <t>Aktualizuoti savivaldybių kultūros paveldo objektus</t>
  </si>
  <si>
    <t>Vietinio susisiekimo viešojo transporto priemonių parko atnaujinimas</t>
  </si>
  <si>
    <t>Darnaus judumo priemonių diegimas</t>
  </si>
  <si>
    <t>Darnaus judumo sistemų kūrimas</t>
  </si>
  <si>
    <t>Pėsčiųjų ir dviračių takų rekonstrukcija ir plėtra</t>
  </si>
  <si>
    <t>Vietinių kelių vystymas</t>
  </si>
  <si>
    <t>Mokyklų tinklo efektyvumo didinimas</t>
  </si>
  <si>
    <t>Neformaliojo švietimo infrastruktūros tobulinimas</t>
  </si>
  <si>
    <t>Ikimokyklinio ir priešmokyklinio ugdymo prieinamumo didinimas</t>
  </si>
  <si>
    <t>Sveikos gyvensenos skatinimas regioniniu lygiu</t>
  </si>
  <si>
    <t>Socialinio būsto fondo plėtra</t>
  </si>
  <si>
    <t>Pagrindinės paslaugos ir kaimų atnaujinimas kaimo vietovėse</t>
  </si>
  <si>
    <t>Pereinamojo laikotarpio tikslinių teritorijų vystymas II</t>
  </si>
  <si>
    <t xml:space="preserve">Savivaldybes jungiančių turizmo trasų ir turizmo maršrutų informacinės infrastruktūros plėtra </t>
  </si>
  <si>
    <t>Socialinių paslaugų infrastruktūros plėtra</t>
  </si>
  <si>
    <t>Paslaugų ir asmenų aptarnavimo kokybės gerinias savivadybėse</t>
  </si>
  <si>
    <t>Komunalinių atliekų tvarkymo  infrastuktūros plėtra</t>
  </si>
  <si>
    <t xml:space="preserve">Kraštovaizdžio apsauga </t>
  </si>
  <si>
    <r>
      <t>Pastatyti arba atnaujinti viešieji arba komerciniai pastatai miestų vietovėse (m</t>
    </r>
    <r>
      <rPr>
        <vertAlign val="superscript"/>
        <sz val="8"/>
        <rFont val="Times New Roman"/>
        <family val="1"/>
        <charset val="186"/>
      </rPr>
      <t>2</t>
    </r>
    <r>
      <rPr>
        <sz val="8"/>
        <rFont val="Times New Roman"/>
        <family val="1"/>
        <charset val="186"/>
      </rPr>
      <t>)</t>
    </r>
  </si>
  <si>
    <t>Kiekis</t>
  </si>
  <si>
    <t>Iš VISO:</t>
  </si>
  <si>
    <t>08.1.1-CPVA-R-407</t>
  </si>
  <si>
    <t>2.1.2.2.1</t>
  </si>
  <si>
    <t>Priemonių, gerinančių ambulatorinių asmens sveikatos priežiūros paslaugų prieinamumą tuberkulioze sergantiems asmenims Jurbarko rajone, įgyvendinimas</t>
  </si>
  <si>
    <t>JRS PSPC</t>
  </si>
  <si>
    <t xml:space="preserve">08.4.2-ESFA-R-615 </t>
  </si>
  <si>
    <t>2.1.2.2.2</t>
  </si>
  <si>
    <t>Pagėgių savivaldybės gyventojų  sergančių tuberkulioze sveikatos priežiūros paslaugų prieinamumo gerinimas</t>
  </si>
  <si>
    <t>Pagėgių sav.</t>
  </si>
  <si>
    <t>2.1.2.2.3</t>
  </si>
  <si>
    <t>Ambulatorinių sveikatos priežiūros paslaugų prieinamumo Šilalės PSPC gerinimas tuberkulioze sergantiems asmenims</t>
  </si>
  <si>
    <t>Šilalės PSPC</t>
  </si>
  <si>
    <t>2.1.2.2.4</t>
  </si>
  <si>
    <t>Socialinės paramos priemonių teikimas tuberkulioze sergantiems Tauragės rajono gyventojams</t>
  </si>
  <si>
    <t>VŠĮ Tauragės rajono PSPC</t>
  </si>
  <si>
    <t>2.1.2.3.1</t>
  </si>
  <si>
    <t>Pagėgių PSPC paslaugų prieinamumo ir kokybės gerinimas</t>
  </si>
  <si>
    <t>08.1.3-CPVA-R-609</t>
  </si>
  <si>
    <t>2.1.2.3.2</t>
  </si>
  <si>
    <t>IĮ "Pagėgių šeimos centras" veiklos efektyvumo gerinimas</t>
  </si>
  <si>
    <t>IĮ "Pagėgių šeimos centras"</t>
  </si>
  <si>
    <t>2.1.2.3.3</t>
  </si>
  <si>
    <t>Jurbarko rajono viešųjų pirminės asmens sveikatos priežiūros įstaigų veiklos efektyvumo didinimas</t>
  </si>
  <si>
    <t>JPSPC</t>
  </si>
  <si>
    <t>Jurbarko r.</t>
  </si>
  <si>
    <t>2.1.2.3.4</t>
  </si>
  <si>
    <t>UAB Jurbarko šeimos klinikos pirminės asmens sveikatos priežiūros veiklos efektyvumo didinimas</t>
  </si>
  <si>
    <t>UAB Jurbarko šeimos klinika</t>
  </si>
  <si>
    <t>2.1.2.3.5</t>
  </si>
  <si>
    <t>N. Dungveckienės šeimos klinikos pirminės asmens sveikatos priežiūros veiklos efektyvumo didinimas</t>
  </si>
  <si>
    <t>N. Dungveckienės šeimos klinika</t>
  </si>
  <si>
    <t>2.1.2.3.6</t>
  </si>
  <si>
    <t>T. Švedko gydytojos kabineto pirminės asmens sveikatos priežiūros veiklos efektyvumo didinimas</t>
  </si>
  <si>
    <t>T. Švedko gydytojos kabinetas</t>
  </si>
  <si>
    <t>2.1.2.3.7</t>
  </si>
  <si>
    <t>V. R. Petkinienės IĮ "Philema" pirminės asmens sveikatos priežiūros veiklos efektyvumo didinimas</t>
  </si>
  <si>
    <t xml:space="preserve">V. R. Petkinienės IĮ "Philema" </t>
  </si>
  <si>
    <t>2.1.2.3.8</t>
  </si>
  <si>
    <t>Sveikatos priežiūros paslaugų prieinamumo VšĮ Šilalės PSPC gerinimas</t>
  </si>
  <si>
    <t>ŠPSPC</t>
  </si>
  <si>
    <t>2.1.2.3.9</t>
  </si>
  <si>
    <t>Gyventojų sveikatos priežiūros paslaugų gerinimas ir priklausomybės nuo opioidų mažinimas</t>
  </si>
  <si>
    <t>UAB "Šilalės šeimos gydytojo praktika"</t>
  </si>
  <si>
    <t>2.1.2.3.10</t>
  </si>
  <si>
    <t>Ambulatorinių sveikatos priežiūros paslaugų prieinamumo gerinimas VšĮ Pajūrio ambulatorijoje</t>
  </si>
  <si>
    <t>Viešoji įstaiga Pajūrio ambulatorija</t>
  </si>
  <si>
    <t>2.1.2.3.11</t>
  </si>
  <si>
    <t>VšĮ Laukuvos ambulatorijos teikiamų paslaugų kokybės gerinimas</t>
  </si>
  <si>
    <t>Viešoji įstaiga Laukuvos ambulatorija</t>
  </si>
  <si>
    <t>2.1.2.3.12</t>
  </si>
  <si>
    <t>Ambulatorinių sveikatos priežiūros paslaugų prieinamumo gerinimas VšĮ Kvėdarnos ambulatorijoje</t>
  </si>
  <si>
    <t>Viešoji įstaiga Kvėdarnos ambulatorija</t>
  </si>
  <si>
    <t>2.1.2.3.13</t>
  </si>
  <si>
    <t>VšĮ Kaltinėnų PSPC paslaugų kokybės gerinimas</t>
  </si>
  <si>
    <t>VšĮ Kaltinėnų PSPC</t>
  </si>
  <si>
    <t>2.1.2.3.14</t>
  </si>
  <si>
    <t>VšĮ Tauragės rajono pirminės sveikatos priežiūros centro veiklos efektyvumo didinimas</t>
  </si>
  <si>
    <t>TPSPC</t>
  </si>
  <si>
    <t>Tauragės r.</t>
  </si>
  <si>
    <t>2.1.2.3.15</t>
  </si>
  <si>
    <t>UAB ,,Šeimos pulsas" veiklos efektyvumo didinimas</t>
  </si>
  <si>
    <t>UAB ,,Šeimos pulsas"</t>
  </si>
  <si>
    <t>2.1.2.3.16</t>
  </si>
  <si>
    <t>UAB Mažonienės medicinos kabineto veiklos efektyvumo didinimas</t>
  </si>
  <si>
    <t>UAB Mažonienės medicinos kabinetas</t>
  </si>
  <si>
    <t>2.1.2.3.17</t>
  </si>
  <si>
    <t>UAB InMedica šeimos klininkų Tauragėje ir Skaudvilėje veiklos efektyvumo didinimas</t>
  </si>
  <si>
    <t>UAB InMedica</t>
  </si>
  <si>
    <t>Socialinio būsto fondo plėtra Šilalės rajono savivaldybėje</t>
  </si>
  <si>
    <t>Pirminės asmens ir visuomenės sveikatos priežiūros veiklos efektyvumo didinimas</t>
  </si>
  <si>
    <t>Priemonių, gerinančių ambulatorinių sveikatos priežiūros paslaugų prieinamumą tuberkulioze sergantiems asmenims, įgyvendinimas</t>
  </si>
  <si>
    <t>P.S.324</t>
  </si>
  <si>
    <t>Įdiegtos intelektinės transporto sistemos</t>
  </si>
  <si>
    <t>P.N.604</t>
  </si>
  <si>
    <t>Tuberkulioze sergantys pacientai, kuriems buvo suteiktos socialinės paramos priemonės (maisto talonų dalijimas) tuberkuliozės ambulatorinio gydymo metu</t>
  </si>
  <si>
    <t>P.B.236</t>
  </si>
  <si>
    <t xml:space="preserve">Gyventojai, turintys galimybę pasinaudoti pagerintomis sveikatos priežiūros paslaugomis </t>
  </si>
  <si>
    <t>P.S.363</t>
  </si>
  <si>
    <t>Viešąsias sveikatos priežiūros paslaugas teikiančių asmens sveikatos priežiūros įstaigų, kuriose modernizuota paslaugų teikimo infrastruktūra, skaičius</t>
  </si>
  <si>
    <t>Socialinių ir sveikatos paslaugų infrastruktūra</t>
  </si>
  <si>
    <t>2017 m. IV ketv.</t>
  </si>
  <si>
    <t>2018 m. I ketv.</t>
  </si>
  <si>
    <t>2018 m. II ketv.</t>
  </si>
  <si>
    <t>TAURAGĖS REGIONO PLĖTROS PLANO 2014–2020 METAMS ĮGYVENDINIMO 
2018 METŲ III KETVIRČIO ATASKAITA</t>
  </si>
  <si>
    <r>
      <t xml:space="preserve">Paskutinio duomenų atnaujinimo data: </t>
    </r>
    <r>
      <rPr>
        <b/>
        <i/>
        <sz val="12"/>
        <color theme="1"/>
        <rFont val="Times New Roman"/>
        <family val="1"/>
        <charset val="186"/>
      </rPr>
      <t>2018-10-01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</si>
</sst>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L_t_-;\-* #,##0.00\ _L_t_-;_-* &quot;-&quot;??\ _L_t_-;_-@_-"/>
    <numFmt numFmtId="164" formatCode="0.0"/>
    <numFmt numFmtId="165" formatCode="yyyy\/mm"/>
    <numFmt numFmtId="166" formatCode="#,##0.0000"/>
    <numFmt numFmtId="167" formatCode="#,##0.0"/>
    <numFmt numFmtId="168" formatCode="yyyy\-mm\-dd;@"/>
  </numFmts>
  <fonts count="3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i/>
      <sz val="9"/>
      <name val="Times New Roman"/>
      <family val="1"/>
      <charset val="186"/>
    </font>
    <font>
      <i/>
      <sz val="11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1" fillId="0" borderId="0"/>
    <xf numFmtId="0" fontId="15" fillId="0" borderId="0"/>
    <xf numFmtId="43" fontId="15" fillId="0" borderId="0" applyFont="0" applyFill="0" applyBorder="0" applyAlignment="0" applyProtection="0"/>
    <xf numFmtId="0" fontId="18" fillId="0" borderId="0"/>
    <xf numFmtId="9" fontId="15" fillId="0" borderId="0" applyFont="0" applyFill="0" applyBorder="0" applyAlignment="0" applyProtection="0"/>
  </cellStyleXfs>
  <cellXfs count="4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3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4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165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165" fontId="13" fillId="5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left" vertical="center" wrapText="1"/>
    </xf>
    <xf numFmtId="0" fontId="20" fillId="5" borderId="1" xfId="2" applyFont="1" applyFill="1" applyBorder="1" applyAlignment="1">
      <alignment vertical="top" wrapText="1"/>
    </xf>
    <xf numFmtId="4" fontId="20" fillId="0" borderId="1" xfId="3" applyNumberFormat="1" applyFont="1" applyBorder="1" applyAlignment="1">
      <alignment horizontal="center" vertical="center" wrapText="1"/>
    </xf>
    <xf numFmtId="165" fontId="20" fillId="0" borderId="1" xfId="2" applyNumberFormat="1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vertical="top" wrapText="1"/>
    </xf>
    <xf numFmtId="4" fontId="20" fillId="0" borderId="1" xfId="3" applyNumberFormat="1" applyFont="1" applyFill="1" applyBorder="1" applyAlignment="1">
      <alignment horizontal="center" vertical="center" wrapText="1"/>
    </xf>
    <xf numFmtId="165" fontId="20" fillId="0" borderId="1" xfId="2" applyNumberFormat="1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left" vertical="top" wrapText="1"/>
    </xf>
    <xf numFmtId="0" fontId="20" fillId="0" borderId="1" xfId="2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horizontal="center" vertical="center" wrapText="1"/>
    </xf>
    <xf numFmtId="0" fontId="20" fillId="5" borderId="1" xfId="2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5" borderId="1" xfId="2" applyFont="1" applyFill="1" applyBorder="1" applyAlignment="1">
      <alignment horizontal="center" vertical="top" wrapText="1"/>
    </xf>
    <xf numFmtId="0" fontId="20" fillId="0" borderId="1" xfId="2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" fontId="20" fillId="5" borderId="1" xfId="3" applyNumberFormat="1" applyFont="1" applyFill="1" applyBorder="1" applyAlignment="1">
      <alignment horizontal="center" vertical="center" wrapText="1"/>
    </xf>
    <xf numFmtId="165" fontId="20" fillId="5" borderId="1" xfId="2" applyNumberFormat="1" applyFont="1" applyFill="1" applyBorder="1" applyAlignment="1">
      <alignment horizontal="center" vertical="center" wrapText="1"/>
    </xf>
    <xf numFmtId="10" fontId="20" fillId="0" borderId="1" xfId="5" applyNumberFormat="1" applyFont="1" applyBorder="1" applyAlignment="1">
      <alignment horizontal="center" vertical="center" wrapText="1"/>
    </xf>
    <xf numFmtId="2" fontId="20" fillId="0" borderId="1" xfId="5" applyNumberFormat="1" applyFont="1" applyBorder="1" applyAlignment="1">
      <alignment horizontal="center" vertical="center" wrapText="1"/>
    </xf>
    <xf numFmtId="166" fontId="20" fillId="0" borderId="1" xfId="3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20" fillId="0" borderId="1" xfId="2" applyNumberFormat="1" applyFont="1" applyFill="1" applyBorder="1" applyAlignment="1">
      <alignment horizontal="center" vertical="center"/>
    </xf>
    <xf numFmtId="2" fontId="20" fillId="0" borderId="1" xfId="2" applyNumberFormat="1" applyFont="1" applyBorder="1" applyAlignment="1">
      <alignment horizontal="left" vertical="top" wrapText="1"/>
    </xf>
    <xf numFmtId="0" fontId="20" fillId="0" borderId="1" xfId="2" applyFont="1" applyFill="1" applyBorder="1" applyAlignment="1">
      <alignment horizontal="left" vertical="top" wrapText="1"/>
    </xf>
    <xf numFmtId="2" fontId="20" fillId="5" borderId="1" xfId="2" applyNumberFormat="1" applyFont="1" applyFill="1" applyBorder="1" applyAlignment="1">
      <alignment horizontal="left" vertical="top" wrapText="1"/>
    </xf>
    <xf numFmtId="0" fontId="20" fillId="0" borderId="1" xfId="2" applyFont="1" applyBorder="1" applyAlignment="1">
      <alignment horizontal="left" vertical="top"/>
    </xf>
    <xf numFmtId="0" fontId="20" fillId="0" borderId="1" xfId="2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165" fontId="22" fillId="0" borderId="1" xfId="2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65" fontId="22" fillId="6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20" fillId="0" borderId="1" xfId="2" applyFont="1" applyBorder="1" applyAlignment="1">
      <alignment vertical="top" wrapText="1"/>
    </xf>
    <xf numFmtId="4" fontId="20" fillId="0" borderId="7" xfId="2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165" fontId="20" fillId="0" borderId="4" xfId="2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top" wrapText="1"/>
    </xf>
    <xf numFmtId="49" fontId="21" fillId="4" borderId="1" xfId="0" applyNumberFormat="1" applyFont="1" applyFill="1" applyBorder="1" applyAlignment="1">
      <alignment horizontal="center" vertical="center" wrapText="1"/>
    </xf>
    <xf numFmtId="165" fontId="20" fillId="6" borderId="1" xfId="2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1" fillId="0" borderId="0" xfId="0" applyFont="1" applyAlignment="1">
      <alignment vertical="center"/>
    </xf>
    <xf numFmtId="0" fontId="20" fillId="6" borderId="1" xfId="2" applyFont="1" applyFill="1" applyBorder="1" applyAlignment="1">
      <alignment vertical="center" wrapText="1"/>
    </xf>
    <xf numFmtId="0" fontId="20" fillId="6" borderId="1" xfId="2" applyFont="1" applyFill="1" applyBorder="1" applyAlignment="1">
      <alignment horizontal="left" vertical="center" wrapText="1"/>
    </xf>
    <xf numFmtId="0" fontId="20" fillId="6" borderId="1" xfId="2" applyFont="1" applyFill="1" applyBorder="1" applyAlignment="1">
      <alignment horizontal="left" vertical="top"/>
    </xf>
    <xf numFmtId="0" fontId="20" fillId="6" borderId="1" xfId="2" applyFont="1" applyFill="1" applyBorder="1" applyAlignment="1">
      <alignment vertical="top" wrapText="1"/>
    </xf>
    <xf numFmtId="0" fontId="20" fillId="6" borderId="1" xfId="2" applyFont="1" applyFill="1" applyBorder="1" applyAlignment="1">
      <alignment horizontal="left" vertical="top" wrapText="1"/>
    </xf>
    <xf numFmtId="2" fontId="20" fillId="6" borderId="1" xfId="2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20" fillId="0" borderId="1" xfId="2" applyFont="1" applyFill="1" applyBorder="1" applyAlignment="1">
      <alignment vertical="center" wrapText="1"/>
    </xf>
    <xf numFmtId="2" fontId="20" fillId="0" borderId="1" xfId="2" applyNumberFormat="1" applyFont="1" applyFill="1" applyBorder="1" applyAlignment="1">
      <alignment horizontal="left" vertical="top" wrapText="1"/>
    </xf>
    <xf numFmtId="0" fontId="20" fillId="0" borderId="1" xfId="2" applyFont="1" applyFill="1" applyBorder="1" applyAlignment="1">
      <alignment horizontal="left" vertical="top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4" borderId="0" xfId="0" applyFont="1" applyFill="1"/>
    <xf numFmtId="0" fontId="1" fillId="0" borderId="1" xfId="0" applyFont="1" applyBorder="1" applyAlignment="1">
      <alignment horizontal="center" vertic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21" fillId="4" borderId="3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top" wrapText="1"/>
    </xf>
    <xf numFmtId="0" fontId="21" fillId="3" borderId="1" xfId="2" applyFont="1" applyFill="1" applyBorder="1" applyAlignment="1">
      <alignment vertical="center" wrapText="1"/>
    </xf>
    <xf numFmtId="0" fontId="21" fillId="3" borderId="1" xfId="2" applyFont="1" applyFill="1" applyBorder="1" applyAlignment="1">
      <alignment vertical="center"/>
    </xf>
    <xf numFmtId="0" fontId="21" fillId="4" borderId="1" xfId="2" applyFont="1" applyFill="1" applyBorder="1" applyAlignment="1">
      <alignment horizontal="left" vertical="center" wrapText="1"/>
    </xf>
    <xf numFmtId="167" fontId="20" fillId="0" borderId="1" xfId="0" applyNumberFormat="1" applyFont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wrapText="1"/>
    </xf>
    <xf numFmtId="167" fontId="20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/>
    <xf numFmtId="0" fontId="21" fillId="0" borderId="2" xfId="0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20" fillId="0" borderId="4" xfId="2" applyNumberFormat="1" applyFont="1" applyFill="1" applyBorder="1" applyAlignment="1">
      <alignment horizontal="center" vertical="center" wrapText="1"/>
    </xf>
    <xf numFmtId="165" fontId="20" fillId="0" borderId="4" xfId="2" applyNumberFormat="1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6" fillId="3" borderId="1" xfId="0" applyFont="1" applyFill="1" applyBorder="1" applyAlignment="1"/>
    <xf numFmtId="0" fontId="6" fillId="0" borderId="1" xfId="0" applyFont="1" applyBorder="1" applyAlignment="1"/>
    <xf numFmtId="0" fontId="20" fillId="0" borderId="1" xfId="2" applyFont="1" applyFill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5" borderId="1" xfId="2" applyFont="1" applyFill="1" applyBorder="1" applyAlignment="1">
      <alignment horizontal="center" vertical="center"/>
    </xf>
    <xf numFmtId="0" fontId="20" fillId="5" borderId="1" xfId="2" applyFont="1" applyFill="1" applyBorder="1" applyAlignment="1"/>
    <xf numFmtId="0" fontId="20" fillId="0" borderId="1" xfId="2" applyFont="1" applyFill="1" applyBorder="1" applyAlignment="1"/>
    <xf numFmtId="4" fontId="20" fillId="5" borderId="1" xfId="2" applyNumberFormat="1" applyFont="1" applyFill="1" applyBorder="1" applyAlignment="1">
      <alignment horizontal="center" vertical="center"/>
    </xf>
    <xf numFmtId="0" fontId="20" fillId="0" borderId="1" xfId="2" applyFont="1" applyBorder="1" applyAlignment="1"/>
    <xf numFmtId="0" fontId="22" fillId="0" borderId="1" xfId="2" applyFont="1" applyFill="1" applyBorder="1" applyAlignment="1">
      <alignment horizontal="center" vertical="center"/>
    </xf>
    <xf numFmtId="0" fontId="20" fillId="5" borderId="1" xfId="2" applyFont="1" applyFill="1" applyBorder="1" applyAlignment="1">
      <alignment horizontal="distributed" vertical="top"/>
    </xf>
    <xf numFmtId="1" fontId="20" fillId="3" borderId="4" xfId="2" applyNumberFormat="1" applyFont="1" applyFill="1" applyBorder="1" applyAlignment="1">
      <alignment horizontal="center" vertical="center" wrapText="1"/>
    </xf>
    <xf numFmtId="165" fontId="20" fillId="3" borderId="4" xfId="2" applyNumberFormat="1" applyFont="1" applyFill="1" applyBorder="1" applyAlignment="1">
      <alignment horizontal="center" vertical="center" wrapText="1"/>
    </xf>
    <xf numFmtId="1" fontId="20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4" borderId="1" xfId="0" applyFont="1" applyFill="1" applyBorder="1" applyAlignment="1"/>
    <xf numFmtId="1" fontId="20" fillId="4" borderId="4" xfId="2" applyNumberFormat="1" applyFont="1" applyFill="1" applyBorder="1" applyAlignment="1">
      <alignment horizontal="center" vertical="center" wrapText="1"/>
    </xf>
    <xf numFmtId="165" fontId="20" fillId="4" borderId="4" xfId="2" applyNumberFormat="1" applyFont="1" applyFill="1" applyBorder="1" applyAlignment="1">
      <alignment horizontal="center" vertical="center" wrapText="1"/>
    </xf>
    <xf numFmtId="1" fontId="20" fillId="4" borderId="2" xfId="0" applyNumberFormat="1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/>
    </xf>
    <xf numFmtId="0" fontId="20" fillId="4" borderId="1" xfId="2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left" vertical="top" wrapText="1"/>
    </xf>
    <xf numFmtId="0" fontId="20" fillId="0" borderId="1" xfId="2" quotePrefix="1" applyFont="1" applyBorder="1" applyAlignment="1">
      <alignment horizontal="center" vertical="center" wrapText="1"/>
    </xf>
    <xf numFmtId="0" fontId="20" fillId="5" borderId="1" xfId="2" quotePrefix="1" applyFont="1" applyFill="1" applyBorder="1" applyAlignment="1">
      <alignment horizontal="center" vertical="center" wrapText="1"/>
    </xf>
    <xf numFmtId="0" fontId="0" fillId="6" borderId="0" xfId="0" applyFill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1" fillId="4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20" fillId="0" borderId="1" xfId="2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vertical="top" wrapText="1"/>
    </xf>
    <xf numFmtId="0" fontId="21" fillId="4" borderId="4" xfId="0" applyFont="1" applyFill="1" applyBorder="1" applyAlignment="1">
      <alignment vertical="top" wrapText="1"/>
    </xf>
    <xf numFmtId="0" fontId="20" fillId="6" borderId="7" xfId="0" applyFont="1" applyFill="1" applyBorder="1" applyAlignment="1">
      <alignment horizontal="left" vertical="top" wrapText="1"/>
    </xf>
    <xf numFmtId="0" fontId="29" fillId="0" borderId="0" xfId="0" applyFont="1"/>
    <xf numFmtId="0" fontId="29" fillId="0" borderId="1" xfId="0" applyFont="1" applyBorder="1"/>
    <xf numFmtId="4" fontId="21" fillId="0" borderId="1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Fill="1"/>
    <xf numFmtId="0" fontId="6" fillId="0" borderId="0" xfId="0" applyFont="1" applyFill="1"/>
    <xf numFmtId="0" fontId="6" fillId="0" borderId="0" xfId="0" applyFont="1"/>
    <xf numFmtId="0" fontId="20" fillId="0" borderId="1" xfId="2" applyFont="1" applyFill="1" applyBorder="1" applyAlignment="1">
      <alignment horizontal="left" vertical="center"/>
    </xf>
    <xf numFmtId="0" fontId="31" fillId="0" borderId="7" xfId="2" applyFont="1" applyFill="1" applyBorder="1" applyAlignment="1">
      <alignment vertical="center"/>
    </xf>
    <xf numFmtId="0" fontId="31" fillId="0" borderId="7" xfId="2" applyFont="1" applyFill="1" applyBorder="1" applyAlignment="1">
      <alignment vertical="center" wrapText="1"/>
    </xf>
    <xf numFmtId="0" fontId="31" fillId="0" borderId="7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 wrapText="1"/>
    </xf>
    <xf numFmtId="0" fontId="31" fillId="0" borderId="7" xfId="2" applyFont="1" applyFill="1" applyBorder="1" applyAlignment="1">
      <alignment horizontal="left" vertical="center" wrapText="1"/>
    </xf>
    <xf numFmtId="4" fontId="31" fillId="0" borderId="7" xfId="2" applyNumberFormat="1" applyFont="1" applyFill="1" applyBorder="1" applyAlignment="1">
      <alignment horizontal="center" vertical="center"/>
    </xf>
    <xf numFmtId="165" fontId="20" fillId="0" borderId="7" xfId="2" applyNumberFormat="1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vertical="center" wrapText="1"/>
    </xf>
    <xf numFmtId="49" fontId="21" fillId="0" borderId="3" xfId="0" applyNumberFormat="1" applyFont="1" applyBorder="1" applyAlignment="1">
      <alignment vertical="center" wrapText="1"/>
    </xf>
    <xf numFmtId="49" fontId="21" fillId="0" borderId="4" xfId="0" applyNumberFormat="1" applyFont="1" applyBorder="1" applyAlignment="1">
      <alignment vertical="center" wrapText="1"/>
    </xf>
    <xf numFmtId="0" fontId="21" fillId="6" borderId="1" xfId="2" applyFont="1" applyFill="1" applyBorder="1" applyAlignment="1">
      <alignment vertical="center"/>
    </xf>
    <xf numFmtId="0" fontId="20" fillId="0" borderId="7" xfId="2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vertical="center" wrapText="1"/>
    </xf>
    <xf numFmtId="0" fontId="20" fillId="0" borderId="7" xfId="2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/>
    </xf>
    <xf numFmtId="165" fontId="20" fillId="5" borderId="4" xfId="2" applyNumberFormat="1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/>
    </xf>
    <xf numFmtId="0" fontId="19" fillId="7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24" fillId="6" borderId="0" xfId="0" applyFont="1" applyFill="1" applyAlignment="1"/>
    <xf numFmtId="0" fontId="25" fillId="7" borderId="1" xfId="2" applyFont="1" applyFill="1" applyBorder="1" applyAlignment="1">
      <alignment vertical="center"/>
    </xf>
    <xf numFmtId="0" fontId="25" fillId="7" borderId="1" xfId="2" applyFont="1" applyFill="1" applyBorder="1" applyAlignment="1">
      <alignment horizontal="center" vertical="center"/>
    </xf>
    <xf numFmtId="0" fontId="25" fillId="8" borderId="1" xfId="2" applyFont="1" applyFill="1" applyBorder="1" applyAlignment="1">
      <alignment vertical="center"/>
    </xf>
    <xf numFmtId="0" fontId="25" fillId="8" borderId="1" xfId="2" applyFont="1" applyFill="1" applyBorder="1" applyAlignment="1">
      <alignment horizontal="center" vertical="center"/>
    </xf>
    <xf numFmtId="0" fontId="25" fillId="9" borderId="1" xfId="2" applyFont="1" applyFill="1" applyBorder="1" applyAlignment="1">
      <alignment vertical="center"/>
    </xf>
    <xf numFmtId="0" fontId="25" fillId="9" borderId="1" xfId="2" applyFont="1" applyFill="1" applyBorder="1" applyAlignment="1">
      <alignment horizontal="center" vertical="center"/>
    </xf>
    <xf numFmtId="0" fontId="25" fillId="10" borderId="1" xfId="2" applyFont="1" applyFill="1" applyBorder="1" applyAlignment="1">
      <alignment vertical="center"/>
    </xf>
    <xf numFmtId="0" fontId="25" fillId="10" borderId="1" xfId="2" applyFont="1" applyFill="1" applyBorder="1" applyAlignment="1">
      <alignment horizontal="center" vertical="center"/>
    </xf>
    <xf numFmtId="0" fontId="23" fillId="7" borderId="1" xfId="0" applyFont="1" applyFill="1" applyBorder="1" applyAlignment="1"/>
    <xf numFmtId="0" fontId="23" fillId="8" borderId="1" xfId="0" applyFont="1" applyFill="1" applyBorder="1" applyAlignment="1"/>
    <xf numFmtId="0" fontId="23" fillId="9" borderId="1" xfId="0" applyFont="1" applyFill="1" applyBorder="1" applyAlignment="1"/>
    <xf numFmtId="0" fontId="23" fillId="10" borderId="1" xfId="0" applyFont="1" applyFill="1" applyBorder="1" applyAlignment="1"/>
    <xf numFmtId="0" fontId="19" fillId="8" borderId="1" xfId="2" applyFont="1" applyFill="1" applyBorder="1" applyAlignment="1">
      <alignment horizontal="center" vertical="center" shrinkToFit="1"/>
    </xf>
    <xf numFmtId="0" fontId="19" fillId="9" borderId="1" xfId="2" applyFont="1" applyFill="1" applyBorder="1" applyAlignment="1">
      <alignment horizontal="center" vertical="center"/>
    </xf>
    <xf numFmtId="0" fontId="19" fillId="9" borderId="1" xfId="2" applyFont="1" applyFill="1" applyBorder="1" applyAlignment="1">
      <alignment horizontal="center" vertical="center" shrinkToFit="1"/>
    </xf>
    <xf numFmtId="0" fontId="19" fillId="10" borderId="1" xfId="2" applyFont="1" applyFill="1" applyBorder="1" applyAlignment="1">
      <alignment horizontal="center" vertical="center"/>
    </xf>
    <xf numFmtId="0" fontId="19" fillId="10" borderId="1" xfId="2" applyFont="1" applyFill="1" applyBorder="1" applyAlignment="1">
      <alignment horizontal="center" vertical="center" shrinkToFit="1"/>
    </xf>
    <xf numFmtId="0" fontId="24" fillId="8" borderId="0" xfId="0" applyFont="1" applyFill="1" applyAlignment="1"/>
    <xf numFmtId="2" fontId="19" fillId="8" borderId="1" xfId="2" applyNumberFormat="1" applyFont="1" applyFill="1" applyBorder="1" applyAlignment="1">
      <alignment horizontal="center" vertical="center"/>
    </xf>
    <xf numFmtId="164" fontId="19" fillId="7" borderId="1" xfId="2" applyNumberFormat="1" applyFont="1" applyFill="1" applyBorder="1" applyAlignment="1">
      <alignment horizontal="center" vertical="center"/>
    </xf>
    <xf numFmtId="0" fontId="19" fillId="9" borderId="1" xfId="2" applyFont="1" applyFill="1" applyBorder="1" applyAlignment="1"/>
    <xf numFmtId="0" fontId="19" fillId="7" borderId="1" xfId="2" applyFont="1" applyFill="1" applyBorder="1" applyAlignment="1">
      <alignment horizontal="center" vertical="top"/>
    </xf>
    <xf numFmtId="0" fontId="19" fillId="8" borderId="1" xfId="2" applyFont="1" applyFill="1" applyBorder="1" applyAlignment="1">
      <alignment horizontal="center" vertical="top"/>
    </xf>
    <xf numFmtId="0" fontId="19" fillId="9" borderId="1" xfId="2" applyFont="1" applyFill="1" applyBorder="1" applyAlignment="1">
      <alignment horizontal="center" vertical="top"/>
    </xf>
    <xf numFmtId="0" fontId="19" fillId="10" borderId="1" xfId="2" applyFont="1" applyFill="1" applyBorder="1" applyAlignment="1"/>
    <xf numFmtId="0" fontId="19" fillId="10" borderId="1" xfId="2" applyFont="1" applyFill="1" applyBorder="1" applyAlignment="1">
      <alignment horizontal="center" vertical="top"/>
    </xf>
    <xf numFmtId="0" fontId="19" fillId="7" borderId="1" xfId="2" applyFont="1" applyFill="1" applyBorder="1" applyAlignment="1">
      <alignment horizontal="center"/>
    </xf>
    <xf numFmtId="0" fontId="19" fillId="8" borderId="1" xfId="2" applyFont="1" applyFill="1" applyBorder="1" applyAlignment="1"/>
    <xf numFmtId="0" fontId="0" fillId="0" borderId="0" xfId="0" applyAlignment="1"/>
    <xf numFmtId="0" fontId="29" fillId="0" borderId="0" xfId="0" applyFont="1" applyAlignment="1"/>
    <xf numFmtId="0" fontId="19" fillId="7" borderId="1" xfId="0" applyFont="1" applyFill="1" applyBorder="1" applyAlignment="1"/>
    <xf numFmtId="0" fontId="19" fillId="8" borderId="1" xfId="0" applyFont="1" applyFill="1" applyBorder="1" applyAlignment="1"/>
    <xf numFmtId="0" fontId="27" fillId="7" borderId="1" xfId="2" applyFont="1" applyFill="1" applyBorder="1" applyAlignment="1">
      <alignment horizontal="center" vertical="center"/>
    </xf>
    <xf numFmtId="0" fontId="27" fillId="8" borderId="1" xfId="2" applyFont="1" applyFill="1" applyBorder="1" applyAlignment="1">
      <alignment horizontal="center" vertical="center"/>
    </xf>
    <xf numFmtId="0" fontId="27" fillId="9" borderId="1" xfId="2" applyFont="1" applyFill="1" applyBorder="1" applyAlignment="1">
      <alignment horizontal="center" vertical="center"/>
    </xf>
    <xf numFmtId="0" fontId="27" fillId="10" borderId="1" xfId="2" applyFont="1" applyFill="1" applyBorder="1" applyAlignment="1">
      <alignment horizontal="center" vertical="center"/>
    </xf>
    <xf numFmtId="0" fontId="19" fillId="7" borderId="1" xfId="2" applyFont="1" applyFill="1" applyBorder="1" applyAlignment="1">
      <alignment horizontal="center" vertical="distributed"/>
    </xf>
    <xf numFmtId="0" fontId="19" fillId="7" borderId="1" xfId="2" applyFont="1" applyFill="1" applyBorder="1" applyAlignment="1">
      <alignment horizontal="distributed" vertical="top"/>
    </xf>
    <xf numFmtId="0" fontId="19" fillId="7" borderId="1" xfId="2" applyFont="1" applyFill="1" applyBorder="1" applyAlignment="1">
      <alignment horizontal="distributed" vertical="distributed"/>
    </xf>
    <xf numFmtId="0" fontId="19" fillId="8" borderId="1" xfId="2" applyFont="1" applyFill="1" applyBorder="1" applyAlignment="1">
      <alignment horizontal="distributed" vertical="top"/>
    </xf>
    <xf numFmtId="0" fontId="19" fillId="9" borderId="1" xfId="2" applyFont="1" applyFill="1" applyBorder="1" applyAlignment="1">
      <alignment horizontal="distributed" vertical="top"/>
    </xf>
    <xf numFmtId="0" fontId="19" fillId="10" borderId="1" xfId="2" applyFont="1" applyFill="1" applyBorder="1" applyAlignment="1">
      <alignment horizontal="distributed" vertical="top"/>
    </xf>
    <xf numFmtId="0" fontId="30" fillId="0" borderId="1" xfId="2" applyFont="1" applyFill="1" applyBorder="1" applyAlignment="1">
      <alignment horizontal="center" vertical="center"/>
    </xf>
    <xf numFmtId="0" fontId="30" fillId="5" borderId="1" xfId="2" applyFont="1" applyFill="1" applyBorder="1" applyAlignment="1">
      <alignment horizontal="center" vertical="center"/>
    </xf>
    <xf numFmtId="165" fontId="20" fillId="0" borderId="1" xfId="2" applyNumberFormat="1" applyFont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0" fontId="13" fillId="5" borderId="4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/>
    </xf>
    <xf numFmtId="0" fontId="30" fillId="0" borderId="4" xfId="2" applyFont="1" applyFill="1" applyBorder="1" applyAlignment="1">
      <alignment horizontal="center" vertical="center"/>
    </xf>
    <xf numFmtId="165" fontId="20" fillId="0" borderId="1" xfId="2" applyNumberFormat="1" applyFont="1" applyFill="1" applyBorder="1" applyAlignment="1">
      <alignment horizontal="center" vertical="center"/>
    </xf>
    <xf numFmtId="0" fontId="30" fillId="5" borderId="4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vertical="center"/>
    </xf>
    <xf numFmtId="49" fontId="21" fillId="0" borderId="1" xfId="0" applyNumberFormat="1" applyFont="1" applyBorder="1" applyAlignment="1">
      <alignment vertical="center" wrapText="1"/>
    </xf>
    <xf numFmtId="0" fontId="19" fillId="13" borderId="1" xfId="2" applyFont="1" applyFill="1" applyBorder="1" applyAlignment="1">
      <alignment horizontal="center" vertical="center"/>
    </xf>
    <xf numFmtId="0" fontId="19" fillId="11" borderId="1" xfId="2" applyFont="1" applyFill="1" applyBorder="1" applyAlignment="1">
      <alignment horizontal="center" vertical="center"/>
    </xf>
    <xf numFmtId="0" fontId="19" fillId="12" borderId="1" xfId="2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1" fontId="20" fillId="11" borderId="2" xfId="0" applyNumberFormat="1" applyFont="1" applyFill="1" applyBorder="1" applyAlignment="1">
      <alignment horizontal="center" vertical="center" wrapText="1"/>
    </xf>
    <xf numFmtId="1" fontId="20" fillId="12" borderId="2" xfId="0" applyNumberFormat="1" applyFont="1" applyFill="1" applyBorder="1" applyAlignment="1">
      <alignment horizontal="center" vertical="center" wrapText="1"/>
    </xf>
    <xf numFmtId="165" fontId="20" fillId="12" borderId="4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/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Border="1"/>
    <xf numFmtId="0" fontId="34" fillId="0" borderId="0" xfId="0" applyFont="1" applyBorder="1" applyAlignment="1">
      <alignment vertical="top" wrapText="1"/>
    </xf>
    <xf numFmtId="0" fontId="35" fillId="0" borderId="0" xfId="0" applyFont="1"/>
    <xf numFmtId="0" fontId="36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Border="1"/>
    <xf numFmtId="0" fontId="36" fillId="4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4" fontId="36" fillId="0" borderId="1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vertical="top" wrapText="1"/>
    </xf>
    <xf numFmtId="0" fontId="24" fillId="11" borderId="0" xfId="0" applyFont="1" applyFill="1" applyAlignment="1"/>
    <xf numFmtId="0" fontId="24" fillId="13" borderId="0" xfId="0" applyFont="1" applyFill="1" applyAlignment="1"/>
    <xf numFmtId="0" fontId="24" fillId="12" borderId="0" xfId="0" applyFont="1" applyFill="1" applyAlignment="1"/>
    <xf numFmtId="165" fontId="20" fillId="6" borderId="1" xfId="0" applyNumberFormat="1" applyFont="1" applyFill="1" applyBorder="1" applyAlignment="1">
      <alignment horizontal="center" vertical="center" wrapText="1"/>
    </xf>
    <xf numFmtId="165" fontId="20" fillId="6" borderId="1" xfId="2" applyNumberFormat="1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top" wrapText="1"/>
    </xf>
    <xf numFmtId="0" fontId="21" fillId="4" borderId="3" xfId="0" applyFont="1" applyFill="1" applyBorder="1" applyAlignment="1">
      <alignment horizontal="left" vertical="top" wrapText="1"/>
    </xf>
    <xf numFmtId="0" fontId="21" fillId="4" borderId="4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2" xfId="2" applyFont="1" applyFill="1" applyBorder="1" applyAlignment="1">
      <alignment horizontal="left" vertical="center"/>
    </xf>
    <xf numFmtId="0" fontId="21" fillId="4" borderId="3" xfId="2" applyFont="1" applyFill="1" applyBorder="1" applyAlignment="1">
      <alignment horizontal="left" vertical="center"/>
    </xf>
    <xf numFmtId="0" fontId="21" fillId="4" borderId="4" xfId="2" applyFont="1" applyFill="1" applyBorder="1" applyAlignment="1">
      <alignment horizontal="left" vertical="center"/>
    </xf>
    <xf numFmtId="0" fontId="21" fillId="3" borderId="2" xfId="2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4" borderId="2" xfId="2" applyFont="1" applyFill="1" applyBorder="1" applyAlignment="1">
      <alignment horizontal="center" vertical="center"/>
    </xf>
    <xf numFmtId="0" fontId="21" fillId="4" borderId="3" xfId="2" applyFont="1" applyFill="1" applyBorder="1" applyAlignment="1">
      <alignment horizontal="center" vertical="center"/>
    </xf>
    <xf numFmtId="0" fontId="21" fillId="4" borderId="4" xfId="2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left" vertical="center"/>
    </xf>
    <xf numFmtId="0" fontId="21" fillId="3" borderId="3" xfId="2" applyFont="1" applyFill="1" applyBorder="1" applyAlignment="1">
      <alignment horizontal="left" vertical="center"/>
    </xf>
    <xf numFmtId="0" fontId="21" fillId="3" borderId="4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left" vertical="center" wrapText="1"/>
    </xf>
    <xf numFmtId="0" fontId="21" fillId="3" borderId="3" xfId="2" applyFont="1" applyFill="1" applyBorder="1" applyAlignment="1">
      <alignment horizontal="left" vertical="center" wrapText="1"/>
    </xf>
    <xf numFmtId="0" fontId="21" fillId="3" borderId="4" xfId="2" applyFont="1" applyFill="1" applyBorder="1" applyAlignment="1">
      <alignment horizontal="left" vertical="center" wrapText="1"/>
    </xf>
    <xf numFmtId="0" fontId="21" fillId="4" borderId="2" xfId="2" applyFont="1" applyFill="1" applyBorder="1" applyAlignment="1">
      <alignment horizontal="left" vertical="center" wrapText="1"/>
    </xf>
    <xf numFmtId="0" fontId="21" fillId="4" borderId="3" xfId="2" applyFont="1" applyFill="1" applyBorder="1" applyAlignment="1">
      <alignment horizontal="left" vertical="center" wrapText="1"/>
    </xf>
    <xf numFmtId="0" fontId="21" fillId="4" borderId="4" xfId="2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21" fillId="4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1" fillId="3" borderId="1" xfId="2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 wrapText="1"/>
    </xf>
    <xf numFmtId="0" fontId="21" fillId="4" borderId="1" xfId="2" applyFont="1" applyFill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6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</cellXfs>
  <cellStyles count="6">
    <cellStyle name="Įprastas" xfId="0" builtinId="0"/>
    <cellStyle name="Įprastas 2" xfId="1"/>
    <cellStyle name="Įprastas 3" xfId="2"/>
    <cellStyle name="Kablelis 2" xfId="3"/>
    <cellStyle name="Paprastas 2 2" xfId="4"/>
    <cellStyle name="Procentai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447675</xdr:colOff>
      <xdr:row>131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96050" y="384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447675</xdr:colOff>
      <xdr:row>132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3277850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topLeftCell="A52" zoomScaleNormal="100" workbookViewId="0">
      <selection activeCell="G155" sqref="G155"/>
    </sheetView>
  </sheetViews>
  <sheetFormatPr defaultRowHeight="15" x14ac:dyDescent="0.25"/>
  <cols>
    <col min="1" max="1" width="5" style="6" customWidth="1"/>
    <col min="2" max="2" width="14.42578125" customWidth="1"/>
    <col min="3" max="3" width="18.28515625" customWidth="1"/>
    <col min="4" max="4" width="6.42578125" customWidth="1"/>
    <col min="5" max="5" width="6.7109375" customWidth="1"/>
    <col min="6" max="6" width="6.85546875" style="6" customWidth="1"/>
    <col min="7" max="7" width="5.85546875" style="6" customWidth="1"/>
    <col min="8" max="8" width="6.28515625" style="6" customWidth="1"/>
    <col min="9" max="10" width="9" style="6" customWidth="1"/>
    <col min="11" max="11" width="8.7109375" style="6" customWidth="1"/>
    <col min="12" max="12" width="9.140625" customWidth="1"/>
    <col min="18" max="18" width="12.28515625" customWidth="1"/>
    <col min="21" max="21" width="11.85546875" customWidth="1"/>
    <col min="24" max="24" width="12" customWidth="1"/>
    <col min="25" max="25" width="11.85546875" customWidth="1"/>
    <col min="26" max="26" width="12.5703125" customWidth="1"/>
    <col min="27" max="27" width="11.42578125" customWidth="1"/>
  </cols>
  <sheetData>
    <row r="1" spans="2:24" ht="15.75" customHeight="1" x14ac:dyDescent="0.25">
      <c r="J1" s="25" t="s">
        <v>120</v>
      </c>
      <c r="K1" s="25"/>
      <c r="L1" s="25"/>
      <c r="U1" s="351"/>
      <c r="V1" s="351"/>
      <c r="W1" s="351"/>
      <c r="X1" s="351"/>
    </row>
    <row r="2" spans="2:24" ht="15.75" customHeight="1" x14ac:dyDescent="0.25">
      <c r="J2" s="26" t="s">
        <v>0</v>
      </c>
      <c r="K2" s="26"/>
      <c r="L2" s="26"/>
      <c r="U2" s="352"/>
      <c r="V2" s="352"/>
      <c r="W2" s="352"/>
      <c r="X2" s="352"/>
    </row>
    <row r="3" spans="2:24" ht="15.75" customHeight="1" x14ac:dyDescent="0.25">
      <c r="J3" s="26" t="s">
        <v>12</v>
      </c>
      <c r="K3" s="26"/>
      <c r="L3" s="26"/>
      <c r="U3" s="352"/>
      <c r="V3" s="352"/>
      <c r="W3" s="352"/>
      <c r="X3" s="352"/>
    </row>
    <row r="5" spans="2:24" s="6" customFormat="1" ht="15.75" customHeight="1" x14ac:dyDescent="0.25">
      <c r="B5" s="353" t="s">
        <v>788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</row>
    <row r="6" spans="2:24" s="6" customFormat="1" x14ac:dyDescent="0.25"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</row>
    <row r="7" spans="2:24" s="6" customFormat="1" x14ac:dyDescent="0.25"/>
    <row r="8" spans="2:24" ht="15.75" x14ac:dyDescent="0.25">
      <c r="B8" s="350" t="s">
        <v>8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s="6" customFormat="1" ht="15.75" x14ac:dyDescent="0.25">
      <c r="B9" s="2"/>
      <c r="C9" s="2"/>
      <c r="D9" s="2"/>
      <c r="E9" s="2"/>
      <c r="F9" s="23"/>
      <c r="G9" s="23"/>
      <c r="H9" s="23"/>
      <c r="I9" s="23"/>
      <c r="J9" s="23"/>
      <c r="K9" s="23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s="6" customFormat="1" ht="15.75" x14ac:dyDescent="0.25">
      <c r="B10" s="1" t="s">
        <v>789</v>
      </c>
      <c r="C10" s="2"/>
      <c r="D10" s="2"/>
      <c r="E10" s="2"/>
      <c r="F10" s="23"/>
      <c r="G10" s="23"/>
      <c r="H10" s="23"/>
      <c r="I10" s="23"/>
      <c r="J10" s="23"/>
      <c r="K10" s="23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ht="15.75" x14ac:dyDescent="0.25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ht="15.75" x14ac:dyDescent="0.25">
      <c r="B12" s="1" t="s">
        <v>9</v>
      </c>
    </row>
    <row r="13" spans="2:24" s="6" customFormat="1" ht="15.75" customHeight="1" x14ac:dyDescent="0.25">
      <c r="B13" s="354" t="s">
        <v>1</v>
      </c>
      <c r="C13" s="354" t="s">
        <v>3</v>
      </c>
      <c r="D13" s="334" t="s">
        <v>2</v>
      </c>
      <c r="E13" s="334"/>
      <c r="F13" s="334"/>
      <c r="G13" s="334"/>
      <c r="H13" s="334"/>
      <c r="I13" s="334"/>
      <c r="J13" s="334"/>
      <c r="K13" s="334"/>
      <c r="L13" s="334"/>
    </row>
    <row r="14" spans="2:24" ht="15" customHeight="1" x14ac:dyDescent="0.25">
      <c r="B14" s="355"/>
      <c r="C14" s="355"/>
      <c r="D14" s="24">
        <v>2015</v>
      </c>
      <c r="E14" s="24">
        <v>2016</v>
      </c>
      <c r="F14" s="24">
        <v>2017</v>
      </c>
      <c r="G14" s="24">
        <v>2018</v>
      </c>
      <c r="H14" s="24">
        <v>2019</v>
      </c>
      <c r="I14" s="24">
        <v>2020</v>
      </c>
      <c r="J14" s="24">
        <v>2021</v>
      </c>
      <c r="K14" s="24">
        <v>2022</v>
      </c>
      <c r="L14" s="24">
        <v>2023</v>
      </c>
      <c r="M14" s="7"/>
    </row>
    <row r="15" spans="2:24" x14ac:dyDescent="0.25">
      <c r="B15" s="33" t="s">
        <v>123</v>
      </c>
      <c r="C15" s="341" t="s">
        <v>124</v>
      </c>
      <c r="D15" s="342"/>
      <c r="E15" s="342"/>
      <c r="F15" s="342"/>
      <c r="G15" s="342"/>
      <c r="H15" s="342"/>
      <c r="I15" s="342"/>
      <c r="J15" s="342"/>
      <c r="K15" s="342"/>
      <c r="L15" s="343"/>
      <c r="M15" s="7"/>
    </row>
    <row r="16" spans="2:24" ht="30.75" customHeight="1" x14ac:dyDescent="0.25">
      <c r="B16" s="334" t="s">
        <v>10</v>
      </c>
      <c r="C16" s="14" t="s">
        <v>117</v>
      </c>
      <c r="D16" s="24"/>
      <c r="E16" s="24"/>
      <c r="F16" s="24"/>
      <c r="G16" s="24"/>
      <c r="H16" s="24"/>
      <c r="I16" s="27" t="s">
        <v>125</v>
      </c>
      <c r="J16" s="27" t="s">
        <v>125</v>
      </c>
      <c r="K16" s="27" t="s">
        <v>125</v>
      </c>
      <c r="L16" s="27" t="s">
        <v>125</v>
      </c>
      <c r="M16" s="7"/>
    </row>
    <row r="17" spans="2:13" x14ac:dyDescent="0.25">
      <c r="B17" s="334"/>
      <c r="C17" s="14" t="s">
        <v>118</v>
      </c>
      <c r="D17" s="24"/>
      <c r="E17" s="24"/>
      <c r="F17" s="24"/>
      <c r="G17" s="24"/>
      <c r="H17" s="24"/>
      <c r="I17" s="28" t="s">
        <v>126</v>
      </c>
      <c r="J17" s="28" t="s">
        <v>126</v>
      </c>
      <c r="K17" s="28" t="s">
        <v>126</v>
      </c>
      <c r="L17" s="28" t="s">
        <v>126</v>
      </c>
      <c r="M17" s="7"/>
    </row>
    <row r="18" spans="2:13" ht="38.25" x14ac:dyDescent="0.25">
      <c r="B18" s="334"/>
      <c r="C18" s="14" t="s">
        <v>119</v>
      </c>
      <c r="D18" s="24"/>
      <c r="E18" s="24"/>
      <c r="F18" s="24"/>
      <c r="G18" s="24"/>
      <c r="H18" s="24"/>
      <c r="I18" s="28" t="s">
        <v>127</v>
      </c>
      <c r="J18" s="28" t="s">
        <v>127</v>
      </c>
      <c r="K18" s="28" t="s">
        <v>127</v>
      </c>
      <c r="L18" s="28" t="s">
        <v>127</v>
      </c>
      <c r="M18" s="7"/>
    </row>
    <row r="19" spans="2:13" x14ac:dyDescent="0.25">
      <c r="B19" s="332" t="s">
        <v>11</v>
      </c>
      <c r="C19" s="333"/>
      <c r="D19" s="24" t="s">
        <v>34</v>
      </c>
      <c r="E19" s="24" t="s">
        <v>34</v>
      </c>
      <c r="F19" s="24" t="s">
        <v>34</v>
      </c>
      <c r="G19" s="24" t="s">
        <v>34</v>
      </c>
      <c r="H19" s="24"/>
      <c r="I19" s="24"/>
      <c r="J19" s="24"/>
      <c r="K19" s="24"/>
      <c r="L19" s="24"/>
    </row>
    <row r="20" spans="2:13" x14ac:dyDescent="0.25">
      <c r="B20" s="33" t="s">
        <v>128</v>
      </c>
      <c r="C20" s="341" t="s">
        <v>129</v>
      </c>
      <c r="D20" s="342"/>
      <c r="E20" s="342"/>
      <c r="F20" s="342"/>
      <c r="G20" s="342"/>
      <c r="H20" s="342"/>
      <c r="I20" s="342"/>
      <c r="J20" s="342"/>
      <c r="K20" s="342"/>
      <c r="L20" s="343"/>
    </row>
    <row r="21" spans="2:13" ht="25.5" x14ac:dyDescent="0.25">
      <c r="B21" s="334" t="s">
        <v>10</v>
      </c>
      <c r="C21" s="14" t="s">
        <v>117</v>
      </c>
      <c r="D21" s="24"/>
      <c r="E21" s="24"/>
      <c r="F21" s="24"/>
      <c r="G21" s="24"/>
      <c r="H21" s="24"/>
      <c r="I21" s="27" t="s">
        <v>130</v>
      </c>
      <c r="J21" s="27" t="s">
        <v>130</v>
      </c>
      <c r="K21" s="27" t="s">
        <v>130</v>
      </c>
      <c r="L21" s="27" t="s">
        <v>130</v>
      </c>
    </row>
    <row r="22" spans="2:13" x14ac:dyDescent="0.25">
      <c r="B22" s="334"/>
      <c r="C22" s="14" t="s">
        <v>118</v>
      </c>
      <c r="D22" s="24"/>
      <c r="E22" s="24"/>
      <c r="F22" s="24"/>
      <c r="G22" s="24"/>
      <c r="H22" s="24"/>
      <c r="I22" s="28" t="s">
        <v>131</v>
      </c>
      <c r="J22" s="28" t="s">
        <v>131</v>
      </c>
      <c r="K22" s="28" t="s">
        <v>131</v>
      </c>
      <c r="L22" s="28" t="s">
        <v>133</v>
      </c>
    </row>
    <row r="23" spans="2:13" ht="38.25" x14ac:dyDescent="0.25">
      <c r="B23" s="334"/>
      <c r="C23" s="14" t="s">
        <v>119</v>
      </c>
      <c r="D23" s="24"/>
      <c r="E23" s="24"/>
      <c r="F23" s="24"/>
      <c r="G23" s="24"/>
      <c r="H23" s="24"/>
      <c r="I23" s="28" t="s">
        <v>132</v>
      </c>
      <c r="J23" s="28" t="s">
        <v>132</v>
      </c>
      <c r="K23" s="28" t="s">
        <v>132</v>
      </c>
      <c r="L23" s="28" t="s">
        <v>132</v>
      </c>
    </row>
    <row r="24" spans="2:13" x14ac:dyDescent="0.25">
      <c r="B24" s="332" t="s">
        <v>11</v>
      </c>
      <c r="C24" s="333"/>
      <c r="D24" s="24" t="s">
        <v>34</v>
      </c>
      <c r="E24" s="24" t="s">
        <v>34</v>
      </c>
      <c r="F24" s="24" t="s">
        <v>34</v>
      </c>
      <c r="G24" s="24" t="s">
        <v>34</v>
      </c>
      <c r="H24" s="24"/>
      <c r="I24" s="24"/>
      <c r="J24" s="24"/>
      <c r="K24" s="24"/>
      <c r="L24" s="24"/>
    </row>
    <row r="25" spans="2:13" x14ac:dyDescent="0.25">
      <c r="B25" s="29" t="s">
        <v>134</v>
      </c>
      <c r="C25" s="347" t="s">
        <v>135</v>
      </c>
      <c r="D25" s="348"/>
      <c r="E25" s="348"/>
      <c r="F25" s="348"/>
      <c r="G25" s="348"/>
      <c r="H25" s="348"/>
      <c r="I25" s="348"/>
      <c r="J25" s="348"/>
      <c r="K25" s="348"/>
      <c r="L25" s="349"/>
      <c r="M25" s="193"/>
    </row>
    <row r="26" spans="2:13" ht="25.5" x14ac:dyDescent="0.25">
      <c r="B26" s="334" t="s">
        <v>10</v>
      </c>
      <c r="C26" s="14" t="s">
        <v>117</v>
      </c>
      <c r="D26" s="24"/>
      <c r="E26" s="24"/>
      <c r="F26" s="31" t="s">
        <v>160</v>
      </c>
      <c r="G26" s="31" t="s">
        <v>166</v>
      </c>
      <c r="H26" s="31" t="s">
        <v>167</v>
      </c>
      <c r="I26" s="31" t="s">
        <v>168</v>
      </c>
      <c r="J26" s="31" t="s">
        <v>168</v>
      </c>
      <c r="K26" s="31" t="s">
        <v>168</v>
      </c>
      <c r="L26" s="31" t="s">
        <v>168</v>
      </c>
    </row>
    <row r="27" spans="2:13" x14ac:dyDescent="0.25">
      <c r="B27" s="334"/>
      <c r="C27" s="14" t="s">
        <v>118</v>
      </c>
      <c r="D27" s="24"/>
      <c r="E27" s="24"/>
      <c r="F27" s="28" t="s">
        <v>158</v>
      </c>
      <c r="G27" s="28" t="s">
        <v>161</v>
      </c>
      <c r="H27" s="28" t="s">
        <v>163</v>
      </c>
      <c r="I27" s="28" t="s">
        <v>164</v>
      </c>
      <c r="J27" s="28" t="s">
        <v>164</v>
      </c>
      <c r="K27" s="28" t="s">
        <v>164</v>
      </c>
      <c r="L27" s="28" t="s">
        <v>164</v>
      </c>
    </row>
    <row r="28" spans="2:13" ht="38.25" x14ac:dyDescent="0.25">
      <c r="B28" s="334"/>
      <c r="C28" s="14" t="s">
        <v>119</v>
      </c>
      <c r="D28" s="24"/>
      <c r="E28" s="24"/>
      <c r="F28" s="28" t="s">
        <v>159</v>
      </c>
      <c r="G28" s="28" t="s">
        <v>162</v>
      </c>
      <c r="H28" s="28" t="s">
        <v>162</v>
      </c>
      <c r="I28" s="28" t="s">
        <v>165</v>
      </c>
      <c r="J28" s="28" t="s">
        <v>165</v>
      </c>
      <c r="K28" s="28" t="s">
        <v>165</v>
      </c>
      <c r="L28" s="28" t="s">
        <v>165</v>
      </c>
    </row>
    <row r="29" spans="2:13" x14ac:dyDescent="0.25">
      <c r="B29" s="332" t="s">
        <v>11</v>
      </c>
      <c r="C29" s="333"/>
      <c r="D29" s="136" t="s">
        <v>34</v>
      </c>
      <c r="E29" s="136" t="s">
        <v>34</v>
      </c>
      <c r="F29" s="184">
        <v>3</v>
      </c>
      <c r="G29" s="194">
        <v>3</v>
      </c>
      <c r="H29" s="24"/>
      <c r="I29" s="24"/>
      <c r="J29" s="24"/>
      <c r="K29" s="24"/>
      <c r="L29" s="24"/>
    </row>
    <row r="30" spans="2:13" x14ac:dyDescent="0.25">
      <c r="B30" s="29" t="s">
        <v>136</v>
      </c>
      <c r="C30" s="335" t="s">
        <v>137</v>
      </c>
      <c r="D30" s="336"/>
      <c r="E30" s="336"/>
      <c r="F30" s="336"/>
      <c r="G30" s="336"/>
      <c r="H30" s="336"/>
      <c r="I30" s="336"/>
      <c r="J30" s="336"/>
      <c r="K30" s="336"/>
      <c r="L30" s="337"/>
    </row>
    <row r="31" spans="2:13" ht="25.5" x14ac:dyDescent="0.25">
      <c r="B31" s="334" t="s">
        <v>10</v>
      </c>
      <c r="C31" s="14" t="s">
        <v>117</v>
      </c>
      <c r="D31" s="24"/>
      <c r="E31" s="24"/>
      <c r="F31" s="24"/>
      <c r="G31" s="31" t="s">
        <v>160</v>
      </c>
      <c r="H31" s="31" t="s">
        <v>197</v>
      </c>
      <c r="I31" s="31" t="s">
        <v>200</v>
      </c>
      <c r="J31" s="31" t="s">
        <v>200</v>
      </c>
      <c r="K31" s="31" t="s">
        <v>200</v>
      </c>
      <c r="L31" s="31" t="s">
        <v>203</v>
      </c>
    </row>
    <row r="32" spans="2:13" x14ac:dyDescent="0.25">
      <c r="B32" s="334"/>
      <c r="C32" s="14" t="s">
        <v>118</v>
      </c>
      <c r="D32" s="24"/>
      <c r="E32" s="24"/>
      <c r="F32" s="24"/>
      <c r="G32" s="28" t="s">
        <v>158</v>
      </c>
      <c r="H32" s="28" t="s">
        <v>198</v>
      </c>
      <c r="I32" s="28" t="s">
        <v>201</v>
      </c>
      <c r="J32" s="28" t="s">
        <v>201</v>
      </c>
      <c r="K32" s="28" t="s">
        <v>201</v>
      </c>
      <c r="L32" s="28" t="s">
        <v>204</v>
      </c>
    </row>
    <row r="33" spans="2:12" ht="38.25" x14ac:dyDescent="0.25">
      <c r="B33" s="334"/>
      <c r="C33" s="14" t="s">
        <v>119</v>
      </c>
      <c r="D33" s="24"/>
      <c r="E33" s="24"/>
      <c r="F33" s="24"/>
      <c r="G33" s="28" t="s">
        <v>159</v>
      </c>
      <c r="H33" s="28" t="s">
        <v>199</v>
      </c>
      <c r="I33" s="28" t="s">
        <v>162</v>
      </c>
      <c r="J33" s="28" t="s">
        <v>202</v>
      </c>
      <c r="K33" s="28" t="s">
        <v>202</v>
      </c>
      <c r="L33" s="28" t="s">
        <v>162</v>
      </c>
    </row>
    <row r="34" spans="2:12" x14ac:dyDescent="0.25">
      <c r="B34" s="332" t="s">
        <v>11</v>
      </c>
      <c r="C34" s="333"/>
      <c r="D34" s="24" t="s">
        <v>34</v>
      </c>
      <c r="E34" s="24" t="s">
        <v>34</v>
      </c>
      <c r="F34" s="24"/>
      <c r="G34" s="194">
        <v>2</v>
      </c>
      <c r="H34" s="24"/>
      <c r="I34" s="24"/>
      <c r="J34" s="24"/>
      <c r="K34" s="24"/>
      <c r="L34" s="24"/>
    </row>
    <row r="35" spans="2:12" x14ac:dyDescent="0.25">
      <c r="B35" s="29" t="s">
        <v>138</v>
      </c>
      <c r="C35" s="335" t="s">
        <v>139</v>
      </c>
      <c r="D35" s="336"/>
      <c r="E35" s="336"/>
      <c r="F35" s="336"/>
      <c r="G35" s="336"/>
      <c r="H35" s="336"/>
      <c r="I35" s="336"/>
      <c r="J35" s="336"/>
      <c r="K35" s="336"/>
      <c r="L35" s="337"/>
    </row>
    <row r="36" spans="2:12" ht="25.5" x14ac:dyDescent="0.25">
      <c r="B36" s="334" t="s">
        <v>10</v>
      </c>
      <c r="C36" s="14" t="s">
        <v>117</v>
      </c>
      <c r="D36" s="24"/>
      <c r="E36" s="24"/>
      <c r="F36" s="24"/>
      <c r="G36" s="24"/>
      <c r="H36" s="31" t="s">
        <v>205</v>
      </c>
      <c r="I36" s="31" t="s">
        <v>205</v>
      </c>
      <c r="J36" s="31" t="s">
        <v>160</v>
      </c>
      <c r="K36" s="31" t="s">
        <v>205</v>
      </c>
      <c r="L36" s="31" t="s">
        <v>160</v>
      </c>
    </row>
    <row r="37" spans="2:12" x14ac:dyDescent="0.25">
      <c r="B37" s="334"/>
      <c r="C37" s="14" t="s">
        <v>118</v>
      </c>
      <c r="D37" s="24"/>
      <c r="E37" s="24"/>
      <c r="F37" s="24"/>
      <c r="G37" s="24"/>
      <c r="H37" s="28" t="s">
        <v>206</v>
      </c>
      <c r="I37" s="28" t="s">
        <v>206</v>
      </c>
      <c r="J37" s="28" t="s">
        <v>207</v>
      </c>
      <c r="K37" s="28" t="s">
        <v>206</v>
      </c>
      <c r="L37" s="28" t="s">
        <v>207</v>
      </c>
    </row>
    <row r="38" spans="2:12" ht="38.25" x14ac:dyDescent="0.25">
      <c r="B38" s="334"/>
      <c r="C38" s="14" t="s">
        <v>119</v>
      </c>
      <c r="D38" s="24"/>
      <c r="E38" s="24"/>
      <c r="F38" s="24"/>
      <c r="G38" s="24"/>
      <c r="H38" s="28" t="s">
        <v>159</v>
      </c>
      <c r="I38" s="28" t="s">
        <v>159</v>
      </c>
      <c r="J38" s="28" t="s">
        <v>159</v>
      </c>
      <c r="K38" s="28" t="s">
        <v>159</v>
      </c>
      <c r="L38" s="28" t="s">
        <v>159</v>
      </c>
    </row>
    <row r="39" spans="2:12" x14ac:dyDescent="0.25">
      <c r="B39" s="332" t="s">
        <v>11</v>
      </c>
      <c r="C39" s="333"/>
      <c r="D39" s="32" t="s">
        <v>34</v>
      </c>
      <c r="E39" s="32" t="s">
        <v>34</v>
      </c>
      <c r="F39" s="32" t="s">
        <v>34</v>
      </c>
      <c r="G39" s="24" t="s">
        <v>34</v>
      </c>
      <c r="H39" s="24"/>
      <c r="I39" s="24"/>
      <c r="J39" s="24"/>
      <c r="K39" s="24"/>
      <c r="L39" s="24"/>
    </row>
    <row r="40" spans="2:12" x14ac:dyDescent="0.25">
      <c r="B40" s="29" t="s">
        <v>140</v>
      </c>
      <c r="C40" s="335" t="s">
        <v>141</v>
      </c>
      <c r="D40" s="336"/>
      <c r="E40" s="336"/>
      <c r="F40" s="336"/>
      <c r="G40" s="336"/>
      <c r="H40" s="336"/>
      <c r="I40" s="336"/>
      <c r="J40" s="336"/>
      <c r="K40" s="336"/>
      <c r="L40" s="337"/>
    </row>
    <row r="41" spans="2:12" ht="25.5" x14ac:dyDescent="0.25">
      <c r="B41" s="334" t="s">
        <v>10</v>
      </c>
      <c r="C41" s="14" t="s">
        <v>117</v>
      </c>
      <c r="D41" s="24"/>
      <c r="E41" s="24"/>
      <c r="F41" s="24"/>
      <c r="G41" s="31" t="s">
        <v>160</v>
      </c>
      <c r="H41" s="31" t="s">
        <v>208</v>
      </c>
      <c r="I41" s="31" t="s">
        <v>208</v>
      </c>
      <c r="J41" s="31" t="s">
        <v>197</v>
      </c>
      <c r="K41" s="31" t="s">
        <v>208</v>
      </c>
      <c r="L41" s="31" t="s">
        <v>208</v>
      </c>
    </row>
    <row r="42" spans="2:12" x14ac:dyDescent="0.25">
      <c r="B42" s="334"/>
      <c r="C42" s="14" t="s">
        <v>118</v>
      </c>
      <c r="D42" s="24"/>
      <c r="E42" s="24"/>
      <c r="F42" s="24"/>
      <c r="G42" s="28" t="s">
        <v>207</v>
      </c>
      <c r="H42" s="28" t="s">
        <v>209</v>
      </c>
      <c r="I42" s="28" t="s">
        <v>209</v>
      </c>
      <c r="J42" s="28" t="s">
        <v>209</v>
      </c>
      <c r="K42" s="28" t="s">
        <v>209</v>
      </c>
      <c r="L42" s="28" t="s">
        <v>209</v>
      </c>
    </row>
    <row r="43" spans="2:12" ht="38.25" x14ac:dyDescent="0.25">
      <c r="B43" s="334"/>
      <c r="C43" s="14" t="s">
        <v>119</v>
      </c>
      <c r="D43" s="24"/>
      <c r="E43" s="24"/>
      <c r="F43" s="24"/>
      <c r="G43" s="28" t="s">
        <v>159</v>
      </c>
      <c r="H43" s="28" t="s">
        <v>159</v>
      </c>
      <c r="I43" s="28" t="s">
        <v>159</v>
      </c>
      <c r="J43" s="28" t="s">
        <v>159</v>
      </c>
      <c r="K43" s="28" t="s">
        <v>159</v>
      </c>
      <c r="L43" s="28" t="s">
        <v>159</v>
      </c>
    </row>
    <row r="44" spans="2:12" x14ac:dyDescent="0.25">
      <c r="B44" s="332" t="s">
        <v>11</v>
      </c>
      <c r="C44" s="333"/>
      <c r="D44" s="32" t="s">
        <v>34</v>
      </c>
      <c r="E44" s="32" t="s">
        <v>34</v>
      </c>
      <c r="F44" s="32" t="s">
        <v>34</v>
      </c>
      <c r="G44" s="194">
        <v>2</v>
      </c>
      <c r="H44" s="24"/>
      <c r="I44" s="24"/>
      <c r="J44" s="24"/>
      <c r="K44" s="24"/>
      <c r="L44" s="24"/>
    </row>
    <row r="45" spans="2:12" x14ac:dyDescent="0.25">
      <c r="B45" s="33" t="s">
        <v>142</v>
      </c>
      <c r="C45" s="341" t="s">
        <v>143</v>
      </c>
      <c r="D45" s="342"/>
      <c r="E45" s="342"/>
      <c r="F45" s="342"/>
      <c r="G45" s="342"/>
      <c r="H45" s="342"/>
      <c r="I45" s="342"/>
      <c r="J45" s="342"/>
      <c r="K45" s="342"/>
      <c r="L45" s="343"/>
    </row>
    <row r="46" spans="2:12" ht="25.5" x14ac:dyDescent="0.25">
      <c r="B46" s="334" t="s">
        <v>10</v>
      </c>
      <c r="C46" s="14" t="s">
        <v>117</v>
      </c>
      <c r="D46" s="24"/>
      <c r="E46" s="24"/>
      <c r="F46" s="24"/>
      <c r="G46" s="24"/>
      <c r="H46" s="24"/>
      <c r="I46" s="27" t="s">
        <v>211</v>
      </c>
      <c r="J46" s="27" t="s">
        <v>211</v>
      </c>
      <c r="K46" s="27" t="s">
        <v>211</v>
      </c>
      <c r="L46" s="27" t="s">
        <v>211</v>
      </c>
    </row>
    <row r="47" spans="2:12" x14ac:dyDescent="0.25">
      <c r="B47" s="334"/>
      <c r="C47" s="14" t="s">
        <v>118</v>
      </c>
      <c r="D47" s="24"/>
      <c r="E47" s="24"/>
      <c r="F47" s="24"/>
      <c r="G47" s="24"/>
      <c r="H47" s="24"/>
      <c r="I47" s="28" t="s">
        <v>212</v>
      </c>
      <c r="J47" s="28" t="s">
        <v>212</v>
      </c>
      <c r="K47" s="28" t="s">
        <v>212</v>
      </c>
      <c r="L47" s="28" t="s">
        <v>212</v>
      </c>
    </row>
    <row r="48" spans="2:12" ht="38.25" x14ac:dyDescent="0.25">
      <c r="B48" s="334"/>
      <c r="C48" s="14" t="s">
        <v>119</v>
      </c>
      <c r="D48" s="24"/>
      <c r="E48" s="24"/>
      <c r="F48" s="24"/>
      <c r="G48" s="24"/>
      <c r="H48" s="24"/>
      <c r="I48" s="28" t="s">
        <v>210</v>
      </c>
      <c r="J48" s="28" t="s">
        <v>210</v>
      </c>
      <c r="K48" s="28" t="s">
        <v>210</v>
      </c>
      <c r="L48" s="28" t="s">
        <v>210</v>
      </c>
    </row>
    <row r="49" spans="2:12" x14ac:dyDescent="0.25">
      <c r="B49" s="332" t="s">
        <v>11</v>
      </c>
      <c r="C49" s="333"/>
      <c r="D49" s="32" t="s">
        <v>34</v>
      </c>
      <c r="E49" s="32" t="s">
        <v>34</v>
      </c>
      <c r="F49" s="32" t="s">
        <v>34</v>
      </c>
      <c r="G49" s="194" t="s">
        <v>34</v>
      </c>
      <c r="H49" s="24"/>
      <c r="I49" s="24"/>
      <c r="J49" s="24"/>
      <c r="K49" s="24"/>
      <c r="L49" s="24"/>
    </row>
    <row r="50" spans="2:12" x14ac:dyDescent="0.25">
      <c r="B50" s="29" t="s">
        <v>144</v>
      </c>
      <c r="C50" s="335" t="s">
        <v>145</v>
      </c>
      <c r="D50" s="336"/>
      <c r="E50" s="336"/>
      <c r="F50" s="336"/>
      <c r="G50" s="336"/>
      <c r="H50" s="336"/>
      <c r="I50" s="336"/>
      <c r="J50" s="336"/>
      <c r="K50" s="336"/>
      <c r="L50" s="337"/>
    </row>
    <row r="51" spans="2:12" ht="25.5" x14ac:dyDescent="0.25">
      <c r="B51" s="334" t="s">
        <v>10</v>
      </c>
      <c r="C51" s="14" t="s">
        <v>117</v>
      </c>
      <c r="D51" s="24"/>
      <c r="E51" s="24"/>
      <c r="F51" s="24"/>
      <c r="G51" s="24"/>
      <c r="H51" s="24"/>
      <c r="I51" s="31" t="s">
        <v>213</v>
      </c>
      <c r="J51" s="31" t="s">
        <v>213</v>
      </c>
      <c r="K51" s="31" t="s">
        <v>213</v>
      </c>
      <c r="L51" s="31" t="s">
        <v>213</v>
      </c>
    </row>
    <row r="52" spans="2:12" x14ac:dyDescent="0.25">
      <c r="B52" s="334"/>
      <c r="C52" s="14" t="s">
        <v>118</v>
      </c>
      <c r="D52" s="24"/>
      <c r="E52" s="24"/>
      <c r="F52" s="24"/>
      <c r="G52" s="24"/>
      <c r="H52" s="24"/>
      <c r="I52" s="28" t="s">
        <v>214</v>
      </c>
      <c r="J52" s="28" t="s">
        <v>214</v>
      </c>
      <c r="K52" s="28" t="s">
        <v>214</v>
      </c>
      <c r="L52" s="28" t="s">
        <v>214</v>
      </c>
    </row>
    <row r="53" spans="2:12" ht="38.25" x14ac:dyDescent="0.25">
      <c r="B53" s="334"/>
      <c r="C53" s="14" t="s">
        <v>119</v>
      </c>
      <c r="D53" s="24"/>
      <c r="E53" s="24"/>
      <c r="F53" s="24"/>
      <c r="G53" s="24"/>
      <c r="H53" s="24"/>
      <c r="I53" s="28" t="s">
        <v>215</v>
      </c>
      <c r="J53" s="28" t="s">
        <v>215</v>
      </c>
      <c r="K53" s="28" t="s">
        <v>215</v>
      </c>
      <c r="L53" s="28" t="s">
        <v>215</v>
      </c>
    </row>
    <row r="54" spans="2:12" x14ac:dyDescent="0.25">
      <c r="B54" s="332" t="s">
        <v>11</v>
      </c>
      <c r="C54" s="333"/>
      <c r="D54" s="32" t="s">
        <v>34</v>
      </c>
      <c r="E54" s="32" t="s">
        <v>34</v>
      </c>
      <c r="F54" s="32" t="s">
        <v>34</v>
      </c>
      <c r="G54" s="194" t="s">
        <v>34</v>
      </c>
      <c r="H54" s="24"/>
      <c r="I54" s="24"/>
      <c r="J54" s="24"/>
      <c r="K54" s="24"/>
      <c r="L54" s="24"/>
    </row>
    <row r="55" spans="2:12" x14ac:dyDescent="0.25">
      <c r="B55" s="29" t="s">
        <v>146</v>
      </c>
      <c r="C55" s="335" t="s">
        <v>147</v>
      </c>
      <c r="D55" s="336"/>
      <c r="E55" s="336"/>
      <c r="F55" s="336"/>
      <c r="G55" s="336"/>
      <c r="H55" s="336"/>
      <c r="I55" s="336"/>
      <c r="J55" s="336"/>
      <c r="K55" s="336"/>
      <c r="L55" s="337"/>
    </row>
    <row r="56" spans="2:12" ht="25.5" x14ac:dyDescent="0.25">
      <c r="B56" s="334" t="s">
        <v>10</v>
      </c>
      <c r="C56" s="14" t="s">
        <v>117</v>
      </c>
      <c r="D56" s="24"/>
      <c r="E56" s="24"/>
      <c r="F56" s="24"/>
      <c r="G56" s="31" t="s">
        <v>205</v>
      </c>
      <c r="H56" s="31" t="s">
        <v>208</v>
      </c>
      <c r="I56" s="31" t="s">
        <v>208</v>
      </c>
      <c r="J56" s="31" t="s">
        <v>208</v>
      </c>
      <c r="K56" s="31" t="s">
        <v>208</v>
      </c>
      <c r="L56" s="31" t="s">
        <v>208</v>
      </c>
    </row>
    <row r="57" spans="2:12" x14ac:dyDescent="0.25">
      <c r="B57" s="334"/>
      <c r="C57" s="14" t="s">
        <v>118</v>
      </c>
      <c r="D57" s="24"/>
      <c r="E57" s="24"/>
      <c r="F57" s="24"/>
      <c r="G57" s="28" t="s">
        <v>206</v>
      </c>
      <c r="H57" s="28" t="s">
        <v>209</v>
      </c>
      <c r="I57" s="28" t="s">
        <v>209</v>
      </c>
      <c r="J57" s="28" t="s">
        <v>209</v>
      </c>
      <c r="K57" s="28" t="s">
        <v>209</v>
      </c>
      <c r="L57" s="28" t="s">
        <v>209</v>
      </c>
    </row>
    <row r="58" spans="2:12" ht="38.25" x14ac:dyDescent="0.25">
      <c r="B58" s="334"/>
      <c r="C58" s="14" t="s">
        <v>119</v>
      </c>
      <c r="D58" s="24"/>
      <c r="E58" s="24"/>
      <c r="F58" s="24"/>
      <c r="G58" s="28" t="s">
        <v>159</v>
      </c>
      <c r="H58" s="28" t="s">
        <v>159</v>
      </c>
      <c r="I58" s="28" t="s">
        <v>159</v>
      </c>
      <c r="J58" s="28" t="s">
        <v>159</v>
      </c>
      <c r="K58" s="28" t="s">
        <v>159</v>
      </c>
      <c r="L58" s="28" t="s">
        <v>159</v>
      </c>
    </row>
    <row r="59" spans="2:12" x14ac:dyDescent="0.25">
      <c r="B59" s="332" t="s">
        <v>11</v>
      </c>
      <c r="C59" s="333"/>
      <c r="D59" s="32" t="s">
        <v>34</v>
      </c>
      <c r="E59" s="32" t="s">
        <v>34</v>
      </c>
      <c r="F59" s="32" t="s">
        <v>34</v>
      </c>
      <c r="G59" s="194">
        <v>0</v>
      </c>
      <c r="H59" s="24"/>
      <c r="I59" s="24"/>
      <c r="J59" s="24"/>
      <c r="K59" s="24"/>
      <c r="L59" s="24"/>
    </row>
    <row r="60" spans="2:12" x14ac:dyDescent="0.25">
      <c r="B60" s="29" t="s">
        <v>148</v>
      </c>
      <c r="C60" s="335" t="s">
        <v>149</v>
      </c>
      <c r="D60" s="336"/>
      <c r="E60" s="336"/>
      <c r="F60" s="336"/>
      <c r="G60" s="336"/>
      <c r="H60" s="336"/>
      <c r="I60" s="336"/>
      <c r="J60" s="336"/>
      <c r="K60" s="336"/>
      <c r="L60" s="337"/>
    </row>
    <row r="61" spans="2:12" ht="25.5" x14ac:dyDescent="0.25">
      <c r="B61" s="334" t="s">
        <v>10</v>
      </c>
      <c r="C61" s="14" t="s">
        <v>117</v>
      </c>
      <c r="D61" s="30" t="s">
        <v>34</v>
      </c>
      <c r="E61" s="30" t="s">
        <v>34</v>
      </c>
      <c r="F61" s="30" t="s">
        <v>34</v>
      </c>
      <c r="G61" s="30" t="s">
        <v>34</v>
      </c>
      <c r="H61" s="30" t="s">
        <v>34</v>
      </c>
      <c r="I61" s="30" t="s">
        <v>34</v>
      </c>
      <c r="J61" s="30" t="s">
        <v>34</v>
      </c>
      <c r="K61" s="30" t="s">
        <v>34</v>
      </c>
      <c r="L61" s="30" t="s">
        <v>34</v>
      </c>
    </row>
    <row r="62" spans="2:12" x14ac:dyDescent="0.25">
      <c r="B62" s="334"/>
      <c r="C62" s="14" t="s">
        <v>118</v>
      </c>
      <c r="D62" s="32" t="s">
        <v>34</v>
      </c>
      <c r="E62" s="32" t="s">
        <v>34</v>
      </c>
      <c r="F62" s="32" t="s">
        <v>34</v>
      </c>
      <c r="G62" s="32" t="s">
        <v>34</v>
      </c>
      <c r="H62" s="32" t="s">
        <v>34</v>
      </c>
      <c r="I62" s="32" t="s">
        <v>34</v>
      </c>
      <c r="J62" s="32" t="s">
        <v>34</v>
      </c>
      <c r="K62" s="32" t="s">
        <v>34</v>
      </c>
      <c r="L62" s="32" t="s">
        <v>34</v>
      </c>
    </row>
    <row r="63" spans="2:12" ht="38.25" x14ac:dyDescent="0.25">
      <c r="B63" s="334"/>
      <c r="C63" s="14" t="s">
        <v>119</v>
      </c>
      <c r="D63" s="32" t="s">
        <v>34</v>
      </c>
      <c r="E63" s="32" t="s">
        <v>34</v>
      </c>
      <c r="F63" s="32" t="s">
        <v>34</v>
      </c>
      <c r="G63" s="32" t="s">
        <v>34</v>
      </c>
      <c r="H63" s="32" t="s">
        <v>34</v>
      </c>
      <c r="I63" s="32" t="s">
        <v>34</v>
      </c>
      <c r="J63" s="32" t="s">
        <v>34</v>
      </c>
      <c r="K63" s="32" t="s">
        <v>34</v>
      </c>
      <c r="L63" s="32" t="s">
        <v>34</v>
      </c>
    </row>
    <row r="64" spans="2:12" x14ac:dyDescent="0.25">
      <c r="B64" s="332" t="s">
        <v>11</v>
      </c>
      <c r="C64" s="333"/>
      <c r="D64" s="32" t="s">
        <v>34</v>
      </c>
      <c r="E64" s="32" t="s">
        <v>34</v>
      </c>
      <c r="F64" s="32" t="s">
        <v>34</v>
      </c>
      <c r="G64" s="194" t="s">
        <v>34</v>
      </c>
      <c r="H64" s="24"/>
      <c r="I64" s="24"/>
      <c r="J64" s="24"/>
      <c r="K64" s="24"/>
      <c r="L64" s="24"/>
    </row>
    <row r="65" spans="2:13" x14ac:dyDescent="0.25">
      <c r="B65" s="29" t="s">
        <v>150</v>
      </c>
      <c r="C65" s="347" t="s">
        <v>151</v>
      </c>
      <c r="D65" s="348"/>
      <c r="E65" s="348"/>
      <c r="F65" s="348"/>
      <c r="G65" s="348"/>
      <c r="H65" s="348"/>
      <c r="I65" s="348"/>
      <c r="J65" s="348"/>
      <c r="K65" s="348"/>
      <c r="L65" s="349"/>
      <c r="M65" s="193"/>
    </row>
    <row r="66" spans="2:13" ht="25.5" x14ac:dyDescent="0.25">
      <c r="B66" s="334" t="s">
        <v>10</v>
      </c>
      <c r="C66" s="14" t="s">
        <v>117</v>
      </c>
      <c r="D66" s="24"/>
      <c r="E66" s="24"/>
      <c r="F66" s="31" t="s">
        <v>160</v>
      </c>
      <c r="G66" s="31" t="s">
        <v>216</v>
      </c>
      <c r="H66" s="31" t="s">
        <v>217</v>
      </c>
      <c r="I66" s="31" t="s">
        <v>220</v>
      </c>
      <c r="J66" s="31" t="s">
        <v>220</v>
      </c>
      <c r="K66" s="31" t="s">
        <v>220</v>
      </c>
      <c r="L66" s="31" t="s">
        <v>220</v>
      </c>
    </row>
    <row r="67" spans="2:13" x14ac:dyDescent="0.25">
      <c r="B67" s="334"/>
      <c r="C67" s="14" t="s">
        <v>118</v>
      </c>
      <c r="D67" s="24"/>
      <c r="E67" s="24"/>
      <c r="F67" s="28" t="s">
        <v>206</v>
      </c>
      <c r="G67" s="28" t="s">
        <v>212</v>
      </c>
      <c r="H67" s="28" t="s">
        <v>218</v>
      </c>
      <c r="I67" s="28" t="s">
        <v>221</v>
      </c>
      <c r="J67" s="28" t="s">
        <v>221</v>
      </c>
      <c r="K67" s="28" t="s">
        <v>221</v>
      </c>
      <c r="L67" s="28" t="s">
        <v>221</v>
      </c>
    </row>
    <row r="68" spans="2:13" ht="38.25" x14ac:dyDescent="0.25">
      <c r="B68" s="334"/>
      <c r="C68" s="14" t="s">
        <v>119</v>
      </c>
      <c r="D68" s="24"/>
      <c r="E68" s="24"/>
      <c r="F68" s="28" t="s">
        <v>159</v>
      </c>
      <c r="G68" s="28" t="s">
        <v>162</v>
      </c>
      <c r="H68" s="28" t="s">
        <v>219</v>
      </c>
      <c r="I68" s="28" t="s">
        <v>222</v>
      </c>
      <c r="J68" s="28" t="s">
        <v>222</v>
      </c>
      <c r="K68" s="28" t="s">
        <v>222</v>
      </c>
      <c r="L68" s="28" t="s">
        <v>222</v>
      </c>
    </row>
    <row r="69" spans="2:13" x14ac:dyDescent="0.25">
      <c r="B69" s="332" t="s">
        <v>11</v>
      </c>
      <c r="C69" s="333"/>
      <c r="D69" s="32" t="s">
        <v>34</v>
      </c>
      <c r="E69" s="32" t="s">
        <v>34</v>
      </c>
      <c r="F69" s="184">
        <v>1</v>
      </c>
      <c r="G69" s="194">
        <v>1</v>
      </c>
      <c r="H69" s="24"/>
      <c r="I69" s="24"/>
      <c r="J69" s="24"/>
      <c r="K69" s="24"/>
      <c r="L69" s="24"/>
    </row>
    <row r="70" spans="2:13" x14ac:dyDescent="0.25">
      <c r="B70" s="29" t="s">
        <v>152</v>
      </c>
      <c r="C70" s="335" t="s">
        <v>153</v>
      </c>
      <c r="D70" s="336"/>
      <c r="E70" s="336"/>
      <c r="F70" s="336"/>
      <c r="G70" s="336"/>
      <c r="H70" s="336"/>
      <c r="I70" s="336"/>
      <c r="J70" s="336"/>
      <c r="K70" s="336"/>
      <c r="L70" s="337"/>
    </row>
    <row r="71" spans="2:13" ht="25.5" x14ac:dyDescent="0.25">
      <c r="B71" s="334" t="s">
        <v>10</v>
      </c>
      <c r="C71" s="14" t="s">
        <v>117</v>
      </c>
      <c r="D71" s="24"/>
      <c r="E71" s="24"/>
      <c r="F71" s="24"/>
      <c r="G71" s="24"/>
      <c r="H71" s="24"/>
      <c r="I71" s="31" t="s">
        <v>223</v>
      </c>
      <c r="J71" s="31" t="s">
        <v>224</v>
      </c>
      <c r="K71" s="31" t="s">
        <v>217</v>
      </c>
      <c r="L71" s="31" t="s">
        <v>228</v>
      </c>
    </row>
    <row r="72" spans="2:13" x14ac:dyDescent="0.25">
      <c r="B72" s="334"/>
      <c r="C72" s="14" t="s">
        <v>118</v>
      </c>
      <c r="D72" s="24"/>
      <c r="E72" s="24"/>
      <c r="F72" s="24"/>
      <c r="G72" s="24"/>
      <c r="H72" s="24"/>
      <c r="I72" s="28" t="s">
        <v>201</v>
      </c>
      <c r="J72" s="28" t="s">
        <v>225</v>
      </c>
      <c r="K72" s="28" t="s">
        <v>226</v>
      </c>
      <c r="L72" s="28" t="s">
        <v>229</v>
      </c>
    </row>
    <row r="73" spans="2:13" ht="38.25" x14ac:dyDescent="0.25">
      <c r="B73" s="334"/>
      <c r="C73" s="14" t="s">
        <v>119</v>
      </c>
      <c r="D73" s="24"/>
      <c r="E73" s="24"/>
      <c r="F73" s="24"/>
      <c r="G73" s="24"/>
      <c r="H73" s="24"/>
      <c r="I73" s="28" t="s">
        <v>202</v>
      </c>
      <c r="J73" s="28" t="s">
        <v>210</v>
      </c>
      <c r="K73" s="28" t="s">
        <v>227</v>
      </c>
      <c r="L73" s="28" t="s">
        <v>230</v>
      </c>
    </row>
    <row r="74" spans="2:13" x14ac:dyDescent="0.25">
      <c r="B74" s="332" t="s">
        <v>11</v>
      </c>
      <c r="C74" s="333"/>
      <c r="D74" s="32" t="s">
        <v>34</v>
      </c>
      <c r="E74" s="32" t="s">
        <v>34</v>
      </c>
      <c r="F74" s="32" t="s">
        <v>34</v>
      </c>
      <c r="G74" s="194" t="s">
        <v>34</v>
      </c>
      <c r="H74" s="24"/>
      <c r="I74" s="24"/>
      <c r="J74" s="24"/>
      <c r="K74" s="24"/>
      <c r="L74" s="24"/>
    </row>
    <row r="75" spans="2:13" x14ac:dyDescent="0.25">
      <c r="B75" s="35" t="s">
        <v>154</v>
      </c>
      <c r="C75" s="335" t="s">
        <v>155</v>
      </c>
      <c r="D75" s="336"/>
      <c r="E75" s="336"/>
      <c r="F75" s="336"/>
      <c r="G75" s="336"/>
      <c r="H75" s="336"/>
      <c r="I75" s="336"/>
      <c r="J75" s="336"/>
      <c r="K75" s="336"/>
      <c r="L75" s="337"/>
    </row>
    <row r="76" spans="2:13" ht="25.5" x14ac:dyDescent="0.25">
      <c r="B76" s="334" t="s">
        <v>10</v>
      </c>
      <c r="C76" s="14" t="s">
        <v>117</v>
      </c>
      <c r="D76" s="24"/>
      <c r="E76" s="24"/>
      <c r="F76" s="24"/>
      <c r="G76" s="31" t="s">
        <v>205</v>
      </c>
      <c r="H76" s="31" t="s">
        <v>208</v>
      </c>
      <c r="I76" s="31" t="s">
        <v>203</v>
      </c>
      <c r="J76" s="31" t="s">
        <v>211</v>
      </c>
      <c r="K76" s="31" t="s">
        <v>211</v>
      </c>
      <c r="L76" s="31" t="s">
        <v>211</v>
      </c>
    </row>
    <row r="77" spans="2:13" x14ac:dyDescent="0.25">
      <c r="B77" s="334"/>
      <c r="C77" s="14" t="s">
        <v>118</v>
      </c>
      <c r="D77" s="24"/>
      <c r="E77" s="24"/>
      <c r="F77" s="24"/>
      <c r="G77" s="28" t="s">
        <v>158</v>
      </c>
      <c r="H77" s="28" t="s">
        <v>198</v>
      </c>
      <c r="I77" s="28" t="s">
        <v>204</v>
      </c>
      <c r="J77" s="28" t="s">
        <v>231</v>
      </c>
      <c r="K77" s="28" t="s">
        <v>212</v>
      </c>
      <c r="L77" s="28" t="s">
        <v>212</v>
      </c>
    </row>
    <row r="78" spans="2:13" ht="38.25" x14ac:dyDescent="0.25">
      <c r="B78" s="334"/>
      <c r="C78" s="14" t="s">
        <v>119</v>
      </c>
      <c r="D78" s="24"/>
      <c r="E78" s="24"/>
      <c r="F78" s="24"/>
      <c r="G78" s="28" t="s">
        <v>199</v>
      </c>
      <c r="H78" s="28" t="s">
        <v>199</v>
      </c>
      <c r="I78" s="28" t="s">
        <v>162</v>
      </c>
      <c r="J78" s="28" t="s">
        <v>232</v>
      </c>
      <c r="K78" s="28" t="s">
        <v>210</v>
      </c>
      <c r="L78" s="28" t="s">
        <v>210</v>
      </c>
    </row>
    <row r="79" spans="2:13" x14ac:dyDescent="0.25">
      <c r="B79" s="332" t="s">
        <v>11</v>
      </c>
      <c r="C79" s="333"/>
      <c r="D79" s="32" t="s">
        <v>34</v>
      </c>
      <c r="E79" s="32" t="s">
        <v>34</v>
      </c>
      <c r="F79" s="32" t="s">
        <v>34</v>
      </c>
      <c r="G79" s="194">
        <v>0</v>
      </c>
      <c r="H79" s="24"/>
      <c r="I79" s="24"/>
      <c r="J79" s="24"/>
      <c r="K79" s="24"/>
      <c r="L79" s="24"/>
    </row>
    <row r="80" spans="2:13" x14ac:dyDescent="0.25">
      <c r="B80" s="29" t="s">
        <v>156</v>
      </c>
      <c r="C80" s="335" t="s">
        <v>157</v>
      </c>
      <c r="D80" s="336"/>
      <c r="E80" s="336"/>
      <c r="F80" s="336"/>
      <c r="G80" s="336"/>
      <c r="H80" s="336"/>
      <c r="I80" s="336"/>
      <c r="J80" s="336"/>
      <c r="K80" s="336"/>
      <c r="L80" s="337"/>
    </row>
    <row r="81" spans="2:12" ht="25.5" x14ac:dyDescent="0.25">
      <c r="B81" s="334" t="s">
        <v>10</v>
      </c>
      <c r="C81" s="14" t="s">
        <v>117</v>
      </c>
      <c r="D81" s="24"/>
      <c r="E81" s="24"/>
      <c r="F81" s="24"/>
      <c r="G81" s="31" t="s">
        <v>205</v>
      </c>
      <c r="H81" s="31" t="s">
        <v>208</v>
      </c>
      <c r="I81" s="31" t="s">
        <v>208</v>
      </c>
      <c r="J81" s="31" t="s">
        <v>208</v>
      </c>
      <c r="K81" s="31" t="s">
        <v>208</v>
      </c>
      <c r="L81" s="31" t="s">
        <v>208</v>
      </c>
    </row>
    <row r="82" spans="2:12" x14ac:dyDescent="0.25">
      <c r="B82" s="334"/>
      <c r="C82" s="14" t="s">
        <v>118</v>
      </c>
      <c r="D82" s="24"/>
      <c r="E82" s="24"/>
      <c r="F82" s="24"/>
      <c r="G82" s="28" t="s">
        <v>158</v>
      </c>
      <c r="H82" s="28" t="s">
        <v>209</v>
      </c>
      <c r="I82" s="28" t="s">
        <v>198</v>
      </c>
      <c r="J82" s="28" t="s">
        <v>209</v>
      </c>
      <c r="K82" s="28" t="s">
        <v>209</v>
      </c>
      <c r="L82" s="28" t="s">
        <v>209</v>
      </c>
    </row>
    <row r="83" spans="2:12" ht="38.25" x14ac:dyDescent="0.25">
      <c r="B83" s="334"/>
      <c r="C83" s="14" t="s">
        <v>119</v>
      </c>
      <c r="D83" s="24"/>
      <c r="E83" s="24"/>
      <c r="F83" s="24"/>
      <c r="G83" s="28" t="s">
        <v>199</v>
      </c>
      <c r="H83" s="28" t="s">
        <v>159</v>
      </c>
      <c r="I83" s="28" t="s">
        <v>199</v>
      </c>
      <c r="J83" s="28" t="s">
        <v>159</v>
      </c>
      <c r="K83" s="28" t="s">
        <v>159</v>
      </c>
      <c r="L83" s="28" t="s">
        <v>159</v>
      </c>
    </row>
    <row r="84" spans="2:12" x14ac:dyDescent="0.25">
      <c r="B84" s="332" t="s">
        <v>11</v>
      </c>
      <c r="C84" s="333"/>
      <c r="D84" s="32" t="s">
        <v>34</v>
      </c>
      <c r="E84" s="32" t="s">
        <v>34</v>
      </c>
      <c r="F84" s="32" t="s">
        <v>34</v>
      </c>
      <c r="G84" s="194">
        <v>0</v>
      </c>
      <c r="H84" s="24"/>
      <c r="I84" s="24"/>
      <c r="J84" s="24"/>
      <c r="K84" s="24"/>
      <c r="L84" s="24"/>
    </row>
    <row r="85" spans="2:12" x14ac:dyDescent="0.25">
      <c r="B85" s="29" t="s">
        <v>169</v>
      </c>
      <c r="C85" s="335" t="s">
        <v>170</v>
      </c>
      <c r="D85" s="336"/>
      <c r="E85" s="336"/>
      <c r="F85" s="336"/>
      <c r="G85" s="336"/>
      <c r="H85" s="336"/>
      <c r="I85" s="336"/>
      <c r="J85" s="336"/>
      <c r="K85" s="336"/>
      <c r="L85" s="337"/>
    </row>
    <row r="86" spans="2:12" ht="25.5" x14ac:dyDescent="0.25">
      <c r="B86" s="334" t="s">
        <v>10</v>
      </c>
      <c r="C86" s="14" t="s">
        <v>117</v>
      </c>
      <c r="D86" s="24"/>
      <c r="E86" s="24"/>
      <c r="F86" s="24"/>
      <c r="G86" s="24"/>
      <c r="H86" s="31" t="s">
        <v>200</v>
      </c>
      <c r="I86" s="31" t="s">
        <v>211</v>
      </c>
      <c r="J86" s="31" t="s">
        <v>223</v>
      </c>
      <c r="K86" s="31" t="s">
        <v>254</v>
      </c>
      <c r="L86" s="31" t="s">
        <v>216</v>
      </c>
    </row>
    <row r="87" spans="2:12" x14ac:dyDescent="0.25">
      <c r="B87" s="334"/>
      <c r="C87" s="14" t="s">
        <v>118</v>
      </c>
      <c r="D87" s="24"/>
      <c r="E87" s="24"/>
      <c r="F87" s="24"/>
      <c r="G87" s="24"/>
      <c r="H87" s="28" t="s">
        <v>204</v>
      </c>
      <c r="I87" s="28" t="s">
        <v>212</v>
      </c>
      <c r="J87" s="28" t="s">
        <v>252</v>
      </c>
      <c r="K87" s="28" t="s">
        <v>255</v>
      </c>
      <c r="L87" s="28" t="s">
        <v>225</v>
      </c>
    </row>
    <row r="88" spans="2:12" ht="38.25" x14ac:dyDescent="0.25">
      <c r="B88" s="334"/>
      <c r="C88" s="14" t="s">
        <v>119</v>
      </c>
      <c r="D88" s="24"/>
      <c r="E88" s="24"/>
      <c r="F88" s="24"/>
      <c r="G88" s="24"/>
      <c r="H88" s="28" t="s">
        <v>162</v>
      </c>
      <c r="I88" s="28" t="s">
        <v>210</v>
      </c>
      <c r="J88" s="28" t="s">
        <v>253</v>
      </c>
      <c r="K88" s="28" t="s">
        <v>256</v>
      </c>
      <c r="L88" s="28" t="s">
        <v>256</v>
      </c>
    </row>
    <row r="89" spans="2:12" x14ac:dyDescent="0.25">
      <c r="B89" s="332" t="s">
        <v>11</v>
      </c>
      <c r="C89" s="333"/>
      <c r="D89" s="32" t="s">
        <v>34</v>
      </c>
      <c r="E89" s="32" t="s">
        <v>34</v>
      </c>
      <c r="F89" s="32" t="s">
        <v>34</v>
      </c>
      <c r="G89" s="194" t="s">
        <v>34</v>
      </c>
      <c r="H89" s="24"/>
      <c r="I89" s="24"/>
      <c r="J89" s="24"/>
      <c r="K89" s="24"/>
      <c r="L89" s="24"/>
    </row>
    <row r="90" spans="2:12" x14ac:dyDescent="0.25">
      <c r="B90" s="33" t="s">
        <v>171</v>
      </c>
      <c r="C90" s="341" t="s">
        <v>172</v>
      </c>
      <c r="D90" s="342"/>
      <c r="E90" s="342"/>
      <c r="F90" s="342"/>
      <c r="G90" s="342"/>
      <c r="H90" s="342"/>
      <c r="I90" s="342"/>
      <c r="J90" s="342"/>
      <c r="K90" s="342"/>
      <c r="L90" s="343"/>
    </row>
    <row r="91" spans="2:12" ht="25.5" x14ac:dyDescent="0.25">
      <c r="B91" s="334" t="s">
        <v>10</v>
      </c>
      <c r="C91" s="14" t="s">
        <v>117</v>
      </c>
      <c r="D91" s="24"/>
      <c r="E91" s="24"/>
      <c r="F91" s="24"/>
      <c r="G91" s="24"/>
      <c r="H91" s="24"/>
      <c r="I91" s="31" t="s">
        <v>208</v>
      </c>
      <c r="J91" s="31" t="s">
        <v>203</v>
      </c>
      <c r="K91" s="31" t="s">
        <v>211</v>
      </c>
      <c r="L91" s="31" t="s">
        <v>211</v>
      </c>
    </row>
    <row r="92" spans="2:12" x14ac:dyDescent="0.25">
      <c r="B92" s="334"/>
      <c r="C92" s="14" t="s">
        <v>118</v>
      </c>
      <c r="D92" s="24"/>
      <c r="E92" s="24"/>
      <c r="F92" s="24"/>
      <c r="G92" s="24"/>
      <c r="H92" s="24"/>
      <c r="I92" s="28" t="s">
        <v>209</v>
      </c>
      <c r="J92" s="28" t="s">
        <v>204</v>
      </c>
      <c r="K92" s="28" t="s">
        <v>231</v>
      </c>
      <c r="L92" s="28" t="s">
        <v>212</v>
      </c>
    </row>
    <row r="93" spans="2:12" ht="38.25" x14ac:dyDescent="0.25">
      <c r="B93" s="334"/>
      <c r="C93" s="14" t="s">
        <v>119</v>
      </c>
      <c r="D93" s="24"/>
      <c r="E93" s="24"/>
      <c r="F93" s="24"/>
      <c r="G93" s="24"/>
      <c r="H93" s="24"/>
      <c r="I93" s="28" t="s">
        <v>159</v>
      </c>
      <c r="J93" s="28" t="s">
        <v>162</v>
      </c>
      <c r="K93" s="28" t="s">
        <v>232</v>
      </c>
      <c r="L93" s="28" t="s">
        <v>210</v>
      </c>
    </row>
    <row r="94" spans="2:12" x14ac:dyDescent="0.25">
      <c r="B94" s="332" t="s">
        <v>11</v>
      </c>
      <c r="C94" s="333"/>
      <c r="D94" s="32" t="s">
        <v>34</v>
      </c>
      <c r="E94" s="32" t="s">
        <v>34</v>
      </c>
      <c r="F94" s="32" t="s">
        <v>34</v>
      </c>
      <c r="G94" s="194" t="s">
        <v>34</v>
      </c>
      <c r="H94" s="24"/>
      <c r="I94" s="24"/>
      <c r="J94" s="24"/>
      <c r="K94" s="24"/>
      <c r="L94" s="24"/>
    </row>
    <row r="95" spans="2:12" ht="29.25" customHeight="1" x14ac:dyDescent="0.25">
      <c r="B95" s="33" t="s">
        <v>173</v>
      </c>
      <c r="C95" s="344" t="s">
        <v>174</v>
      </c>
      <c r="D95" s="345"/>
      <c r="E95" s="345"/>
      <c r="F95" s="345"/>
      <c r="G95" s="345"/>
      <c r="H95" s="345"/>
      <c r="I95" s="345"/>
      <c r="J95" s="345"/>
      <c r="K95" s="345"/>
      <c r="L95" s="346"/>
    </row>
    <row r="96" spans="2:12" ht="25.5" x14ac:dyDescent="0.25">
      <c r="B96" s="334" t="s">
        <v>10</v>
      </c>
      <c r="C96" s="14" t="s">
        <v>117</v>
      </c>
      <c r="D96" s="24"/>
      <c r="E96" s="24"/>
      <c r="F96" s="24"/>
      <c r="G96" s="24"/>
      <c r="H96" s="24"/>
      <c r="I96" s="31" t="s">
        <v>257</v>
      </c>
      <c r="J96" s="31" t="s">
        <v>258</v>
      </c>
      <c r="K96" s="31" t="s">
        <v>260</v>
      </c>
      <c r="L96" s="31" t="s">
        <v>262</v>
      </c>
    </row>
    <row r="97" spans="2:12" x14ac:dyDescent="0.25">
      <c r="B97" s="334"/>
      <c r="C97" s="14" t="s">
        <v>118</v>
      </c>
      <c r="D97" s="24"/>
      <c r="E97" s="24"/>
      <c r="F97" s="24"/>
      <c r="G97" s="24"/>
      <c r="H97" s="24"/>
      <c r="I97" s="28" t="s">
        <v>225</v>
      </c>
      <c r="J97" s="28" t="s">
        <v>259</v>
      </c>
      <c r="K97" s="28" t="s">
        <v>226</v>
      </c>
      <c r="L97" s="28" t="s">
        <v>263</v>
      </c>
    </row>
    <row r="98" spans="2:12" ht="38.25" x14ac:dyDescent="0.25">
      <c r="B98" s="334"/>
      <c r="C98" s="14" t="s">
        <v>119</v>
      </c>
      <c r="D98" s="24"/>
      <c r="E98" s="24"/>
      <c r="F98" s="24"/>
      <c r="G98" s="24"/>
      <c r="H98" s="24"/>
      <c r="I98" s="28" t="s">
        <v>162</v>
      </c>
      <c r="J98" s="28" t="s">
        <v>227</v>
      </c>
      <c r="K98" s="28" t="s">
        <v>261</v>
      </c>
      <c r="L98" s="28" t="s">
        <v>264</v>
      </c>
    </row>
    <row r="99" spans="2:12" x14ac:dyDescent="0.25">
      <c r="B99" s="332" t="s">
        <v>11</v>
      </c>
      <c r="C99" s="333"/>
      <c r="D99" s="32" t="s">
        <v>34</v>
      </c>
      <c r="E99" s="32" t="s">
        <v>34</v>
      </c>
      <c r="F99" s="32" t="s">
        <v>34</v>
      </c>
      <c r="G99" s="194" t="s">
        <v>34</v>
      </c>
      <c r="H99" s="24"/>
      <c r="I99" s="24"/>
      <c r="J99" s="24"/>
      <c r="K99" s="24"/>
      <c r="L99" s="24"/>
    </row>
    <row r="100" spans="2:12" ht="30" customHeight="1" x14ac:dyDescent="0.25">
      <c r="B100" s="29" t="s">
        <v>175</v>
      </c>
      <c r="C100" s="338" t="s">
        <v>176</v>
      </c>
      <c r="D100" s="339"/>
      <c r="E100" s="339"/>
      <c r="F100" s="339"/>
      <c r="G100" s="339"/>
      <c r="H100" s="339"/>
      <c r="I100" s="339"/>
      <c r="J100" s="339"/>
      <c r="K100" s="339"/>
      <c r="L100" s="340"/>
    </row>
    <row r="101" spans="2:12" ht="25.5" x14ac:dyDescent="0.25">
      <c r="B101" s="334" t="s">
        <v>10</v>
      </c>
      <c r="C101" s="14" t="s">
        <v>117</v>
      </c>
      <c r="D101" s="24"/>
      <c r="E101" s="24"/>
      <c r="F101" s="24"/>
      <c r="G101" s="31" t="s">
        <v>205</v>
      </c>
      <c r="H101" s="31" t="s">
        <v>265</v>
      </c>
      <c r="I101" s="31" t="s">
        <v>217</v>
      </c>
      <c r="J101" s="31" t="s">
        <v>217</v>
      </c>
      <c r="K101" s="31" t="s">
        <v>217</v>
      </c>
      <c r="L101" s="31" t="s">
        <v>217</v>
      </c>
    </row>
    <row r="102" spans="2:12" x14ac:dyDescent="0.25">
      <c r="B102" s="334"/>
      <c r="C102" s="14" t="s">
        <v>118</v>
      </c>
      <c r="D102" s="24"/>
      <c r="E102" s="24"/>
      <c r="F102" s="24"/>
      <c r="G102" s="28" t="s">
        <v>206</v>
      </c>
      <c r="H102" s="28" t="s">
        <v>201</v>
      </c>
      <c r="I102" s="28" t="s">
        <v>225</v>
      </c>
      <c r="J102" s="28" t="s">
        <v>161</v>
      </c>
      <c r="K102" s="28" t="s">
        <v>161</v>
      </c>
      <c r="L102" s="28" t="s">
        <v>225</v>
      </c>
    </row>
    <row r="103" spans="2:12" ht="38.25" x14ac:dyDescent="0.25">
      <c r="B103" s="334"/>
      <c r="C103" s="14" t="s">
        <v>119</v>
      </c>
      <c r="D103" s="24"/>
      <c r="E103" s="24"/>
      <c r="F103" s="24"/>
      <c r="G103" s="28" t="s">
        <v>159</v>
      </c>
      <c r="H103" s="28" t="s">
        <v>202</v>
      </c>
      <c r="I103" s="28" t="s">
        <v>253</v>
      </c>
      <c r="J103" s="28" t="s">
        <v>266</v>
      </c>
      <c r="K103" s="28" t="s">
        <v>266</v>
      </c>
      <c r="L103" s="28" t="s">
        <v>253</v>
      </c>
    </row>
    <row r="104" spans="2:12" x14ac:dyDescent="0.25">
      <c r="B104" s="332" t="s">
        <v>11</v>
      </c>
      <c r="C104" s="333"/>
      <c r="D104" s="32" t="s">
        <v>34</v>
      </c>
      <c r="E104" s="32" t="s">
        <v>34</v>
      </c>
      <c r="F104" s="32" t="s">
        <v>34</v>
      </c>
      <c r="G104" s="194">
        <v>0</v>
      </c>
      <c r="H104" s="24"/>
      <c r="I104" s="24"/>
      <c r="J104" s="24"/>
      <c r="K104" s="24"/>
      <c r="L104" s="24"/>
    </row>
    <row r="105" spans="2:12" ht="25.5" customHeight="1" x14ac:dyDescent="0.25">
      <c r="B105" s="29" t="s">
        <v>177</v>
      </c>
      <c r="C105" s="338" t="s">
        <v>178</v>
      </c>
      <c r="D105" s="339"/>
      <c r="E105" s="339"/>
      <c r="F105" s="339"/>
      <c r="G105" s="339"/>
      <c r="H105" s="339"/>
      <c r="I105" s="339"/>
      <c r="J105" s="339"/>
      <c r="K105" s="339"/>
      <c r="L105" s="340"/>
    </row>
    <row r="106" spans="2:12" ht="25.5" x14ac:dyDescent="0.25">
      <c r="B106" s="334" t="s">
        <v>10</v>
      </c>
      <c r="C106" s="14" t="s">
        <v>117</v>
      </c>
      <c r="D106" s="24"/>
      <c r="E106" s="24"/>
      <c r="F106" s="24"/>
      <c r="G106" s="24"/>
      <c r="H106" s="31" t="s">
        <v>203</v>
      </c>
      <c r="I106" s="31" t="s">
        <v>223</v>
      </c>
      <c r="J106" s="31" t="s">
        <v>265</v>
      </c>
      <c r="K106" s="31" t="s">
        <v>265</v>
      </c>
      <c r="L106" s="31" t="s">
        <v>265</v>
      </c>
    </row>
    <row r="107" spans="2:12" x14ac:dyDescent="0.25">
      <c r="B107" s="334"/>
      <c r="C107" s="14" t="s">
        <v>118</v>
      </c>
      <c r="D107" s="24"/>
      <c r="E107" s="24"/>
      <c r="F107" s="24"/>
      <c r="G107" s="24"/>
      <c r="H107" s="28" t="s">
        <v>204</v>
      </c>
      <c r="I107" s="28" t="s">
        <v>252</v>
      </c>
      <c r="J107" s="28" t="s">
        <v>225</v>
      </c>
      <c r="K107" s="28" t="s">
        <v>225</v>
      </c>
      <c r="L107" s="28" t="s">
        <v>225</v>
      </c>
    </row>
    <row r="108" spans="2:12" ht="38.25" x14ac:dyDescent="0.25">
      <c r="B108" s="334"/>
      <c r="C108" s="14" t="s">
        <v>119</v>
      </c>
      <c r="D108" s="24"/>
      <c r="E108" s="24"/>
      <c r="F108" s="24"/>
      <c r="G108" s="24"/>
      <c r="H108" s="28" t="s">
        <v>162</v>
      </c>
      <c r="I108" s="28" t="s">
        <v>210</v>
      </c>
      <c r="J108" s="28" t="s">
        <v>256</v>
      </c>
      <c r="K108" s="28" t="s">
        <v>256</v>
      </c>
      <c r="L108" s="28" t="s">
        <v>256</v>
      </c>
    </row>
    <row r="109" spans="2:12" x14ac:dyDescent="0.25">
      <c r="B109" s="332" t="s">
        <v>11</v>
      </c>
      <c r="C109" s="333"/>
      <c r="D109" s="32" t="s">
        <v>34</v>
      </c>
      <c r="E109" s="32" t="s">
        <v>34</v>
      </c>
      <c r="F109" s="32" t="s">
        <v>34</v>
      </c>
      <c r="G109" s="194" t="s">
        <v>34</v>
      </c>
      <c r="H109" s="24"/>
      <c r="I109" s="24"/>
      <c r="J109" s="24"/>
      <c r="K109" s="24"/>
      <c r="L109" s="24"/>
    </row>
    <row r="110" spans="2:12" x14ac:dyDescent="0.25">
      <c r="B110" s="29" t="s">
        <v>179</v>
      </c>
      <c r="C110" s="335" t="s">
        <v>180</v>
      </c>
      <c r="D110" s="336"/>
      <c r="E110" s="336"/>
      <c r="F110" s="336"/>
      <c r="G110" s="336"/>
      <c r="H110" s="336"/>
      <c r="I110" s="336"/>
      <c r="J110" s="336"/>
      <c r="K110" s="336"/>
      <c r="L110" s="337"/>
    </row>
    <row r="111" spans="2:12" ht="25.5" x14ac:dyDescent="0.25">
      <c r="B111" s="334" t="s">
        <v>10</v>
      </c>
      <c r="C111" s="14" t="s">
        <v>117</v>
      </c>
      <c r="D111" s="24"/>
      <c r="E111" s="24"/>
      <c r="F111" s="24"/>
      <c r="G111" s="31" t="s">
        <v>267</v>
      </c>
      <c r="H111" s="31" t="s">
        <v>270</v>
      </c>
      <c r="I111" s="31" t="s">
        <v>270</v>
      </c>
      <c r="J111" s="31" t="s">
        <v>270</v>
      </c>
      <c r="K111" s="31" t="s">
        <v>270</v>
      </c>
      <c r="L111" s="31" t="s">
        <v>270</v>
      </c>
    </row>
    <row r="112" spans="2:12" x14ac:dyDescent="0.25">
      <c r="B112" s="334"/>
      <c r="C112" s="14" t="s">
        <v>118</v>
      </c>
      <c r="D112" s="24"/>
      <c r="E112" s="24"/>
      <c r="F112" s="24"/>
      <c r="G112" s="28" t="s">
        <v>268</v>
      </c>
      <c r="H112" s="28" t="s">
        <v>271</v>
      </c>
      <c r="I112" s="28" t="s">
        <v>271</v>
      </c>
      <c r="J112" s="28" t="s">
        <v>271</v>
      </c>
      <c r="K112" s="28" t="s">
        <v>271</v>
      </c>
      <c r="L112" s="28" t="s">
        <v>271</v>
      </c>
    </row>
    <row r="113" spans="2:12" ht="38.25" x14ac:dyDescent="0.25">
      <c r="B113" s="334"/>
      <c r="C113" s="14" t="s">
        <v>119</v>
      </c>
      <c r="D113" s="24"/>
      <c r="E113" s="24"/>
      <c r="F113" s="24"/>
      <c r="G113" s="28" t="s">
        <v>269</v>
      </c>
      <c r="H113" s="28" t="s">
        <v>272</v>
      </c>
      <c r="I113" s="28" t="s">
        <v>272</v>
      </c>
      <c r="J113" s="28" t="s">
        <v>272</v>
      </c>
      <c r="K113" s="28" t="s">
        <v>272</v>
      </c>
      <c r="L113" s="28" t="s">
        <v>272</v>
      </c>
    </row>
    <row r="114" spans="2:12" x14ac:dyDescent="0.25">
      <c r="B114" s="332" t="s">
        <v>11</v>
      </c>
      <c r="C114" s="333"/>
      <c r="D114" s="32" t="s">
        <v>34</v>
      </c>
      <c r="E114" s="32" t="s">
        <v>34</v>
      </c>
      <c r="F114" s="32" t="s">
        <v>34</v>
      </c>
      <c r="G114" s="194">
        <v>30</v>
      </c>
      <c r="H114" s="24"/>
      <c r="I114" s="24"/>
      <c r="J114" s="24"/>
      <c r="K114" s="24"/>
      <c r="L114" s="24"/>
    </row>
    <row r="115" spans="2:12" x14ac:dyDescent="0.25">
      <c r="B115" s="33" t="s">
        <v>181</v>
      </c>
      <c r="C115" s="341" t="s">
        <v>182</v>
      </c>
      <c r="D115" s="342"/>
      <c r="E115" s="342"/>
      <c r="F115" s="342"/>
      <c r="G115" s="342"/>
      <c r="H115" s="342"/>
      <c r="I115" s="342"/>
      <c r="J115" s="342"/>
      <c r="K115" s="342"/>
      <c r="L115" s="343"/>
    </row>
    <row r="116" spans="2:12" ht="25.5" x14ac:dyDescent="0.25">
      <c r="B116" s="334" t="s">
        <v>10</v>
      </c>
      <c r="C116" s="14" t="s">
        <v>117</v>
      </c>
      <c r="D116" s="24"/>
      <c r="E116" s="24"/>
      <c r="F116" s="24"/>
      <c r="G116" s="24"/>
      <c r="H116" s="31" t="s">
        <v>211</v>
      </c>
      <c r="I116" s="31" t="s">
        <v>211</v>
      </c>
      <c r="J116" s="31" t="s">
        <v>211</v>
      </c>
      <c r="K116" s="31" t="s">
        <v>211</v>
      </c>
      <c r="L116" s="31" t="s">
        <v>211</v>
      </c>
    </row>
    <row r="117" spans="2:12" x14ac:dyDescent="0.25">
      <c r="B117" s="334"/>
      <c r="C117" s="14" t="s">
        <v>118</v>
      </c>
      <c r="D117" s="24"/>
      <c r="E117" s="24"/>
      <c r="F117" s="24"/>
      <c r="G117" s="24"/>
      <c r="H117" s="28" t="s">
        <v>212</v>
      </c>
      <c r="I117" s="28" t="s">
        <v>212</v>
      </c>
      <c r="J117" s="28" t="s">
        <v>212</v>
      </c>
      <c r="K117" s="28" t="s">
        <v>212</v>
      </c>
      <c r="L117" s="28" t="s">
        <v>212</v>
      </c>
    </row>
    <row r="118" spans="2:12" ht="38.25" x14ac:dyDescent="0.25">
      <c r="B118" s="334"/>
      <c r="C118" s="14" t="s">
        <v>119</v>
      </c>
      <c r="D118" s="24"/>
      <c r="E118" s="24"/>
      <c r="F118" s="24"/>
      <c r="G118" s="24"/>
      <c r="H118" s="28" t="s">
        <v>210</v>
      </c>
      <c r="I118" s="28" t="s">
        <v>210</v>
      </c>
      <c r="J118" s="28" t="s">
        <v>210</v>
      </c>
      <c r="K118" s="28" t="s">
        <v>210</v>
      </c>
      <c r="L118" s="28" t="s">
        <v>210</v>
      </c>
    </row>
    <row r="119" spans="2:12" x14ac:dyDescent="0.25">
      <c r="B119" s="332" t="s">
        <v>11</v>
      </c>
      <c r="C119" s="333"/>
      <c r="D119" s="32" t="s">
        <v>34</v>
      </c>
      <c r="E119" s="32" t="s">
        <v>34</v>
      </c>
      <c r="F119" s="32" t="s">
        <v>34</v>
      </c>
      <c r="G119" s="24" t="s">
        <v>34</v>
      </c>
      <c r="H119" s="24"/>
      <c r="I119" s="24"/>
      <c r="J119" s="24"/>
      <c r="K119" s="24"/>
      <c r="L119" s="24"/>
    </row>
    <row r="120" spans="2:12" ht="30.75" customHeight="1" x14ac:dyDescent="0.25">
      <c r="B120" s="29" t="s">
        <v>183</v>
      </c>
      <c r="C120" s="338" t="s">
        <v>184</v>
      </c>
      <c r="D120" s="339"/>
      <c r="E120" s="339"/>
      <c r="F120" s="339"/>
      <c r="G120" s="339"/>
      <c r="H120" s="339"/>
      <c r="I120" s="339"/>
      <c r="J120" s="339"/>
      <c r="K120" s="339"/>
      <c r="L120" s="340"/>
    </row>
    <row r="121" spans="2:12" ht="25.5" x14ac:dyDescent="0.25">
      <c r="B121" s="334" t="s">
        <v>10</v>
      </c>
      <c r="C121" s="14" t="s">
        <v>117</v>
      </c>
      <c r="D121" s="24"/>
      <c r="E121" s="24"/>
      <c r="F121" s="24"/>
      <c r="G121" s="24"/>
      <c r="H121" s="31" t="s">
        <v>273</v>
      </c>
      <c r="I121" s="31" t="s">
        <v>273</v>
      </c>
      <c r="J121" s="31" t="s">
        <v>275</v>
      </c>
      <c r="K121" s="31" t="s">
        <v>275</v>
      </c>
      <c r="L121" s="31" t="s">
        <v>275</v>
      </c>
    </row>
    <row r="122" spans="2:12" x14ac:dyDescent="0.25">
      <c r="B122" s="334"/>
      <c r="C122" s="14" t="s">
        <v>118</v>
      </c>
      <c r="D122" s="24"/>
      <c r="E122" s="24"/>
      <c r="F122" s="24"/>
      <c r="G122" s="24"/>
      <c r="H122" s="28" t="s">
        <v>274</v>
      </c>
      <c r="I122" s="28" t="s">
        <v>274</v>
      </c>
      <c r="J122" s="28" t="s">
        <v>276</v>
      </c>
      <c r="K122" s="28" t="s">
        <v>276</v>
      </c>
      <c r="L122" s="28" t="s">
        <v>276</v>
      </c>
    </row>
    <row r="123" spans="2:12" ht="38.25" x14ac:dyDescent="0.25">
      <c r="B123" s="334"/>
      <c r="C123" s="14" t="s">
        <v>119</v>
      </c>
      <c r="D123" s="24"/>
      <c r="E123" s="24"/>
      <c r="F123" s="24"/>
      <c r="G123" s="24"/>
      <c r="H123" s="28" t="s">
        <v>165</v>
      </c>
      <c r="I123" s="28" t="s">
        <v>165</v>
      </c>
      <c r="J123" s="28" t="s">
        <v>277</v>
      </c>
      <c r="K123" s="28" t="s">
        <v>277</v>
      </c>
      <c r="L123" s="28" t="s">
        <v>277</v>
      </c>
    </row>
    <row r="124" spans="2:12" x14ac:dyDescent="0.25">
      <c r="B124" s="332" t="s">
        <v>11</v>
      </c>
      <c r="C124" s="333"/>
      <c r="D124" s="32" t="s">
        <v>34</v>
      </c>
      <c r="E124" s="32" t="s">
        <v>34</v>
      </c>
      <c r="F124" s="32" t="s">
        <v>34</v>
      </c>
      <c r="G124" s="24" t="s">
        <v>34</v>
      </c>
      <c r="H124" s="24"/>
      <c r="I124" s="24"/>
      <c r="J124" s="24"/>
      <c r="K124" s="24"/>
      <c r="L124" s="24"/>
    </row>
    <row r="125" spans="2:12" x14ac:dyDescent="0.25">
      <c r="B125" s="33" t="s">
        <v>185</v>
      </c>
      <c r="C125" s="341" t="s">
        <v>186</v>
      </c>
      <c r="D125" s="342"/>
      <c r="E125" s="342"/>
      <c r="F125" s="342"/>
      <c r="G125" s="342"/>
      <c r="H125" s="342"/>
      <c r="I125" s="342"/>
      <c r="J125" s="342"/>
      <c r="K125" s="342"/>
      <c r="L125" s="343"/>
    </row>
    <row r="126" spans="2:12" ht="25.5" x14ac:dyDescent="0.25">
      <c r="B126" s="334" t="s">
        <v>10</v>
      </c>
      <c r="C126" s="14" t="s">
        <v>117</v>
      </c>
      <c r="D126" s="24"/>
      <c r="E126" s="24"/>
      <c r="F126" s="24"/>
      <c r="G126" s="24"/>
      <c r="H126" s="24"/>
      <c r="I126" s="31" t="s">
        <v>228</v>
      </c>
      <c r="J126" s="31" t="s">
        <v>228</v>
      </c>
      <c r="K126" s="31" t="s">
        <v>228</v>
      </c>
      <c r="L126" s="31" t="s">
        <v>228</v>
      </c>
    </row>
    <row r="127" spans="2:12" x14ac:dyDescent="0.25">
      <c r="B127" s="334"/>
      <c r="C127" s="14" t="s">
        <v>118</v>
      </c>
      <c r="D127" s="24"/>
      <c r="E127" s="24"/>
      <c r="F127" s="24"/>
      <c r="G127" s="24"/>
      <c r="H127" s="24"/>
      <c r="I127" s="28" t="s">
        <v>278</v>
      </c>
      <c r="J127" s="28" t="s">
        <v>278</v>
      </c>
      <c r="K127" s="28" t="s">
        <v>278</v>
      </c>
      <c r="L127" s="28" t="s">
        <v>278</v>
      </c>
    </row>
    <row r="128" spans="2:12" ht="38.25" x14ac:dyDescent="0.25">
      <c r="B128" s="334"/>
      <c r="C128" s="14" t="s">
        <v>119</v>
      </c>
      <c r="D128" s="24"/>
      <c r="E128" s="24"/>
      <c r="F128" s="24"/>
      <c r="G128" s="24"/>
      <c r="H128" s="24"/>
      <c r="I128" s="28" t="s">
        <v>279</v>
      </c>
      <c r="J128" s="28" t="s">
        <v>279</v>
      </c>
      <c r="K128" s="28" t="s">
        <v>279</v>
      </c>
      <c r="L128" s="28" t="s">
        <v>279</v>
      </c>
    </row>
    <row r="129" spans="2:12" x14ac:dyDescent="0.25">
      <c r="B129" s="332" t="s">
        <v>11</v>
      </c>
      <c r="C129" s="333"/>
      <c r="D129" s="32" t="s">
        <v>34</v>
      </c>
      <c r="E129" s="32" t="s">
        <v>34</v>
      </c>
      <c r="F129" s="32" t="s">
        <v>34</v>
      </c>
      <c r="G129" s="24" t="s">
        <v>34</v>
      </c>
      <c r="H129" s="24"/>
      <c r="I129" s="24"/>
      <c r="J129" s="24"/>
      <c r="K129" s="24"/>
      <c r="L129" s="24"/>
    </row>
    <row r="130" spans="2:12" x14ac:dyDescent="0.25">
      <c r="B130" s="33" t="s">
        <v>187</v>
      </c>
      <c r="C130" s="341" t="s">
        <v>188</v>
      </c>
      <c r="D130" s="342"/>
      <c r="E130" s="342"/>
      <c r="F130" s="342"/>
      <c r="G130" s="342"/>
      <c r="H130" s="342"/>
      <c r="I130" s="342"/>
      <c r="J130" s="342"/>
      <c r="K130" s="342"/>
      <c r="L130" s="343"/>
    </row>
    <row r="131" spans="2:12" ht="25.5" x14ac:dyDescent="0.25">
      <c r="B131" s="334" t="s">
        <v>10</v>
      </c>
      <c r="C131" s="14" t="s">
        <v>117</v>
      </c>
      <c r="D131" s="24"/>
      <c r="E131" s="24"/>
      <c r="F131" s="24"/>
      <c r="G131" s="24"/>
      <c r="H131" s="24"/>
      <c r="I131" s="31" t="s">
        <v>280</v>
      </c>
      <c r="J131" s="31" t="s">
        <v>280</v>
      </c>
      <c r="K131" s="31" t="s">
        <v>280</v>
      </c>
      <c r="L131" s="31" t="s">
        <v>280</v>
      </c>
    </row>
    <row r="132" spans="2:12" x14ac:dyDescent="0.25">
      <c r="B132" s="334"/>
      <c r="C132" s="14" t="s">
        <v>118</v>
      </c>
      <c r="D132" s="24"/>
      <c r="E132" s="24"/>
      <c r="F132" s="24"/>
      <c r="G132" s="24"/>
      <c r="H132" s="24"/>
      <c r="I132" s="28" t="s">
        <v>281</v>
      </c>
      <c r="J132" s="28" t="s">
        <v>281</v>
      </c>
      <c r="K132" s="28" t="s">
        <v>281</v>
      </c>
      <c r="L132" s="28" t="s">
        <v>281</v>
      </c>
    </row>
    <row r="133" spans="2:12" ht="38.25" x14ac:dyDescent="0.25">
      <c r="B133" s="334"/>
      <c r="C133" s="14" t="s">
        <v>119</v>
      </c>
      <c r="D133" s="24"/>
      <c r="E133" s="24"/>
      <c r="F133" s="24"/>
      <c r="G133" s="24"/>
      <c r="H133" s="24"/>
      <c r="I133" s="28" t="s">
        <v>282</v>
      </c>
      <c r="J133" s="28" t="s">
        <v>282</v>
      </c>
      <c r="K133" s="28" t="s">
        <v>282</v>
      </c>
      <c r="L133" s="28" t="s">
        <v>282</v>
      </c>
    </row>
    <row r="134" spans="2:12" x14ac:dyDescent="0.25">
      <c r="B134" s="332" t="s">
        <v>11</v>
      </c>
      <c r="C134" s="333"/>
      <c r="D134" s="32" t="s">
        <v>34</v>
      </c>
      <c r="E134" s="32" t="s">
        <v>34</v>
      </c>
      <c r="F134" s="32" t="s">
        <v>34</v>
      </c>
      <c r="G134" s="24" t="s">
        <v>34</v>
      </c>
      <c r="H134" s="24"/>
      <c r="I134" s="24"/>
      <c r="J134" s="24"/>
      <c r="K134" s="24"/>
      <c r="L134" s="24"/>
    </row>
    <row r="135" spans="2:12" ht="24.75" customHeight="1" x14ac:dyDescent="0.25">
      <c r="B135" s="29" t="s">
        <v>189</v>
      </c>
      <c r="C135" s="338" t="s">
        <v>190</v>
      </c>
      <c r="D135" s="339"/>
      <c r="E135" s="339"/>
      <c r="F135" s="339"/>
      <c r="G135" s="339"/>
      <c r="H135" s="339"/>
      <c r="I135" s="339"/>
      <c r="J135" s="339"/>
      <c r="K135" s="339"/>
      <c r="L135" s="340"/>
    </row>
    <row r="136" spans="2:12" ht="25.5" x14ac:dyDescent="0.25">
      <c r="B136" s="334" t="s">
        <v>10</v>
      </c>
      <c r="C136" s="14" t="s">
        <v>117</v>
      </c>
      <c r="D136" s="24"/>
      <c r="E136" s="24"/>
      <c r="F136" s="24"/>
      <c r="G136" s="24"/>
      <c r="H136" s="31" t="s">
        <v>254</v>
      </c>
      <c r="I136" s="31" t="s">
        <v>254</v>
      </c>
      <c r="J136" s="31" t="s">
        <v>254</v>
      </c>
      <c r="K136" s="31" t="s">
        <v>254</v>
      </c>
      <c r="L136" s="31" t="s">
        <v>254</v>
      </c>
    </row>
    <row r="137" spans="2:12" x14ac:dyDescent="0.25">
      <c r="B137" s="334"/>
      <c r="C137" s="14" t="s">
        <v>118</v>
      </c>
      <c r="D137" s="24"/>
      <c r="E137" s="24"/>
      <c r="F137" s="24"/>
      <c r="G137" s="24"/>
      <c r="H137" s="28" t="s">
        <v>283</v>
      </c>
      <c r="I137" s="28" t="s">
        <v>283</v>
      </c>
      <c r="J137" s="28" t="s">
        <v>283</v>
      </c>
      <c r="K137" s="28" t="s">
        <v>283</v>
      </c>
      <c r="L137" s="28" t="s">
        <v>283</v>
      </c>
    </row>
    <row r="138" spans="2:12" ht="38.25" x14ac:dyDescent="0.25">
      <c r="B138" s="334"/>
      <c r="C138" s="14" t="s">
        <v>119</v>
      </c>
      <c r="D138" s="24"/>
      <c r="E138" s="24"/>
      <c r="F138" s="24"/>
      <c r="G138" s="24"/>
      <c r="H138" s="28" t="s">
        <v>232</v>
      </c>
      <c r="I138" s="28" t="s">
        <v>232</v>
      </c>
      <c r="J138" s="28" t="s">
        <v>232</v>
      </c>
      <c r="K138" s="28" t="s">
        <v>232</v>
      </c>
      <c r="L138" s="28" t="s">
        <v>232</v>
      </c>
    </row>
    <row r="139" spans="2:12" x14ac:dyDescent="0.25">
      <c r="B139" s="332" t="s">
        <v>11</v>
      </c>
      <c r="C139" s="333"/>
      <c r="D139" s="32" t="s">
        <v>34</v>
      </c>
      <c r="E139" s="32" t="s">
        <v>34</v>
      </c>
      <c r="F139" s="32" t="s">
        <v>34</v>
      </c>
      <c r="G139" s="24" t="s">
        <v>34</v>
      </c>
      <c r="H139" s="24"/>
      <c r="I139" s="24"/>
      <c r="J139" s="24"/>
      <c r="K139" s="24"/>
      <c r="L139" s="24"/>
    </row>
    <row r="140" spans="2:12" x14ac:dyDescent="0.25">
      <c r="B140" s="29" t="s">
        <v>191</v>
      </c>
      <c r="C140" s="335" t="s">
        <v>192</v>
      </c>
      <c r="D140" s="336"/>
      <c r="E140" s="336"/>
      <c r="F140" s="336"/>
      <c r="G140" s="336"/>
      <c r="H140" s="336"/>
      <c r="I140" s="336"/>
      <c r="J140" s="336"/>
      <c r="K140" s="336"/>
      <c r="L140" s="337"/>
    </row>
    <row r="141" spans="2:12" ht="25.5" x14ac:dyDescent="0.25">
      <c r="B141" s="334" t="s">
        <v>10</v>
      </c>
      <c r="C141" s="14" t="s">
        <v>117</v>
      </c>
      <c r="D141" s="24"/>
      <c r="E141" s="24"/>
      <c r="F141" s="24"/>
      <c r="G141" s="24"/>
      <c r="H141" s="31" t="s">
        <v>284</v>
      </c>
      <c r="I141" s="31" t="s">
        <v>284</v>
      </c>
      <c r="J141" s="31" t="s">
        <v>284</v>
      </c>
      <c r="K141" s="31" t="s">
        <v>284</v>
      </c>
      <c r="L141" s="31" t="s">
        <v>284</v>
      </c>
    </row>
    <row r="142" spans="2:12" x14ac:dyDescent="0.25">
      <c r="B142" s="334"/>
      <c r="C142" s="14" t="s">
        <v>118</v>
      </c>
      <c r="D142" s="24"/>
      <c r="E142" s="24"/>
      <c r="F142" s="24"/>
      <c r="G142" s="24"/>
      <c r="H142" s="28" t="s">
        <v>285</v>
      </c>
      <c r="I142" s="28" t="s">
        <v>285</v>
      </c>
      <c r="J142" s="28" t="s">
        <v>285</v>
      </c>
      <c r="K142" s="28" t="s">
        <v>285</v>
      </c>
      <c r="L142" s="28" t="s">
        <v>285</v>
      </c>
    </row>
    <row r="143" spans="2:12" ht="38.25" x14ac:dyDescent="0.25">
      <c r="B143" s="334"/>
      <c r="C143" s="14" t="s">
        <v>119</v>
      </c>
      <c r="D143" s="24"/>
      <c r="E143" s="24"/>
      <c r="F143" s="24"/>
      <c r="G143" s="24"/>
      <c r="H143" s="28" t="s">
        <v>286</v>
      </c>
      <c r="I143" s="28" t="s">
        <v>286</v>
      </c>
      <c r="J143" s="28" t="s">
        <v>286</v>
      </c>
      <c r="K143" s="28" t="s">
        <v>286</v>
      </c>
      <c r="L143" s="28" t="s">
        <v>286</v>
      </c>
    </row>
    <row r="144" spans="2:12" x14ac:dyDescent="0.25">
      <c r="B144" s="332" t="s">
        <v>11</v>
      </c>
      <c r="C144" s="333"/>
      <c r="D144" s="32" t="s">
        <v>34</v>
      </c>
      <c r="E144" s="32" t="s">
        <v>34</v>
      </c>
      <c r="F144" s="32" t="s">
        <v>34</v>
      </c>
      <c r="G144" s="24" t="s">
        <v>34</v>
      </c>
      <c r="H144" s="24"/>
      <c r="I144" s="24"/>
      <c r="J144" s="24"/>
      <c r="K144" s="24"/>
      <c r="L144" s="24"/>
    </row>
    <row r="145" spans="2:12" x14ac:dyDescent="0.25">
      <c r="B145" s="29" t="s">
        <v>193</v>
      </c>
      <c r="C145" s="335" t="s">
        <v>194</v>
      </c>
      <c r="D145" s="336"/>
      <c r="E145" s="336"/>
      <c r="F145" s="336"/>
      <c r="G145" s="336"/>
      <c r="H145" s="336"/>
      <c r="I145" s="336"/>
      <c r="J145" s="336"/>
      <c r="K145" s="336"/>
      <c r="L145" s="337"/>
    </row>
    <row r="146" spans="2:12" ht="25.5" x14ac:dyDescent="0.25">
      <c r="B146" s="334" t="s">
        <v>10</v>
      </c>
      <c r="C146" s="14" t="s">
        <v>117</v>
      </c>
      <c r="D146" s="24"/>
      <c r="E146" s="24"/>
      <c r="F146" s="24"/>
      <c r="G146" s="24"/>
      <c r="H146" s="24"/>
      <c r="I146" s="31" t="s">
        <v>211</v>
      </c>
      <c r="J146" s="31" t="s">
        <v>211</v>
      </c>
      <c r="K146" s="31" t="s">
        <v>211</v>
      </c>
      <c r="L146" s="31" t="s">
        <v>211</v>
      </c>
    </row>
    <row r="147" spans="2:12" x14ac:dyDescent="0.25">
      <c r="B147" s="334"/>
      <c r="C147" s="14" t="s">
        <v>118</v>
      </c>
      <c r="D147" s="24"/>
      <c r="E147" s="24"/>
      <c r="F147" s="24"/>
      <c r="G147" s="24"/>
      <c r="H147" s="24"/>
      <c r="I147" s="28" t="s">
        <v>231</v>
      </c>
      <c r="J147" s="28" t="s">
        <v>231</v>
      </c>
      <c r="K147" s="28" t="s">
        <v>231</v>
      </c>
      <c r="L147" s="28" t="s">
        <v>231</v>
      </c>
    </row>
    <row r="148" spans="2:12" ht="38.25" x14ac:dyDescent="0.25">
      <c r="B148" s="334"/>
      <c r="C148" s="14" t="s">
        <v>119</v>
      </c>
      <c r="D148" s="24"/>
      <c r="E148" s="24"/>
      <c r="F148" s="24"/>
      <c r="G148" s="24"/>
      <c r="H148" s="24"/>
      <c r="I148" s="28" t="s">
        <v>232</v>
      </c>
      <c r="J148" s="28" t="s">
        <v>232</v>
      </c>
      <c r="K148" s="28" t="s">
        <v>232</v>
      </c>
      <c r="L148" s="28" t="s">
        <v>232</v>
      </c>
    </row>
    <row r="149" spans="2:12" x14ac:dyDescent="0.25">
      <c r="B149" s="332" t="s">
        <v>11</v>
      </c>
      <c r="C149" s="333"/>
      <c r="D149" s="32" t="s">
        <v>34</v>
      </c>
      <c r="E149" s="32" t="s">
        <v>34</v>
      </c>
      <c r="F149" s="32" t="s">
        <v>34</v>
      </c>
      <c r="G149" s="24" t="s">
        <v>34</v>
      </c>
      <c r="H149" s="24"/>
      <c r="I149" s="24"/>
      <c r="J149" s="24"/>
      <c r="K149" s="24"/>
      <c r="L149" s="24"/>
    </row>
    <row r="150" spans="2:12" x14ac:dyDescent="0.25">
      <c r="B150" s="29" t="s">
        <v>195</v>
      </c>
      <c r="C150" s="335" t="s">
        <v>196</v>
      </c>
      <c r="D150" s="336"/>
      <c r="E150" s="336"/>
      <c r="F150" s="336"/>
      <c r="G150" s="336"/>
      <c r="H150" s="336"/>
      <c r="I150" s="336"/>
      <c r="J150" s="336"/>
      <c r="K150" s="336"/>
      <c r="L150" s="337"/>
    </row>
    <row r="151" spans="2:12" ht="25.5" x14ac:dyDescent="0.25">
      <c r="B151" s="334" t="s">
        <v>10</v>
      </c>
      <c r="C151" s="14" t="s">
        <v>117</v>
      </c>
      <c r="D151" s="24"/>
      <c r="E151" s="24"/>
      <c r="F151" s="24"/>
      <c r="G151" s="31" t="s">
        <v>287</v>
      </c>
      <c r="H151" s="31" t="s">
        <v>287</v>
      </c>
      <c r="I151" s="31" t="s">
        <v>287</v>
      </c>
      <c r="J151" s="31" t="s">
        <v>287</v>
      </c>
      <c r="K151" s="31" t="s">
        <v>287</v>
      </c>
      <c r="L151" s="31" t="s">
        <v>287</v>
      </c>
    </row>
    <row r="152" spans="2:12" x14ac:dyDescent="0.25">
      <c r="B152" s="334"/>
      <c r="C152" s="14" t="s">
        <v>118</v>
      </c>
      <c r="D152" s="24"/>
      <c r="E152" s="24"/>
      <c r="F152" s="24"/>
      <c r="G152" s="28" t="s">
        <v>288</v>
      </c>
      <c r="H152" s="28" t="s">
        <v>288</v>
      </c>
      <c r="I152" s="28" t="s">
        <v>288</v>
      </c>
      <c r="J152" s="28" t="s">
        <v>288</v>
      </c>
      <c r="K152" s="28" t="s">
        <v>288</v>
      </c>
      <c r="L152" s="28" t="s">
        <v>288</v>
      </c>
    </row>
    <row r="153" spans="2:12" ht="38.25" x14ac:dyDescent="0.25">
      <c r="B153" s="334"/>
      <c r="C153" s="14" t="s">
        <v>119</v>
      </c>
      <c r="D153" s="24"/>
      <c r="E153" s="24"/>
      <c r="F153" s="24"/>
      <c r="G153" s="28" t="s">
        <v>256</v>
      </c>
      <c r="H153" s="28" t="s">
        <v>256</v>
      </c>
      <c r="I153" s="28" t="s">
        <v>256</v>
      </c>
      <c r="J153" s="28" t="s">
        <v>256</v>
      </c>
      <c r="K153" s="28" t="s">
        <v>256</v>
      </c>
      <c r="L153" s="28" t="s">
        <v>256</v>
      </c>
    </row>
    <row r="154" spans="2:12" x14ac:dyDescent="0.25">
      <c r="B154" s="332" t="s">
        <v>11</v>
      </c>
      <c r="C154" s="333"/>
      <c r="D154" s="32" t="s">
        <v>34</v>
      </c>
      <c r="E154" s="32" t="s">
        <v>34</v>
      </c>
      <c r="F154" s="32" t="s">
        <v>34</v>
      </c>
      <c r="G154" s="194">
        <v>3</v>
      </c>
      <c r="H154" s="24"/>
      <c r="I154" s="24"/>
      <c r="J154" s="24"/>
      <c r="K154" s="24"/>
      <c r="L154" s="24"/>
    </row>
  </sheetData>
  <mergeCells count="92">
    <mergeCell ref="B8:L8"/>
    <mergeCell ref="B16:B18"/>
    <mergeCell ref="U1:X1"/>
    <mergeCell ref="U2:X2"/>
    <mergeCell ref="U3:X3"/>
    <mergeCell ref="D13:L13"/>
    <mergeCell ref="B5:L6"/>
    <mergeCell ref="C13:C14"/>
    <mergeCell ref="B13:B14"/>
    <mergeCell ref="C15:L15"/>
    <mergeCell ref="B19:C19"/>
    <mergeCell ref="C20:L20"/>
    <mergeCell ref="B21:B23"/>
    <mergeCell ref="B24:C24"/>
    <mergeCell ref="C25:L25"/>
    <mergeCell ref="B26:B28"/>
    <mergeCell ref="B29:C29"/>
    <mergeCell ref="C30:L30"/>
    <mergeCell ref="B31:B33"/>
    <mergeCell ref="B34:C34"/>
    <mergeCell ref="C35:L35"/>
    <mergeCell ref="B36:B38"/>
    <mergeCell ref="B39:C39"/>
    <mergeCell ref="C40:L40"/>
    <mergeCell ref="B41:B43"/>
    <mergeCell ref="B44:C44"/>
    <mergeCell ref="C45:L45"/>
    <mergeCell ref="B46:B48"/>
    <mergeCell ref="B49:C49"/>
    <mergeCell ref="C50:L50"/>
    <mergeCell ref="B51:B53"/>
    <mergeCell ref="B54:C54"/>
    <mergeCell ref="C55:L55"/>
    <mergeCell ref="B56:B58"/>
    <mergeCell ref="B59:C59"/>
    <mergeCell ref="C60:L60"/>
    <mergeCell ref="B61:B63"/>
    <mergeCell ref="B64:C64"/>
    <mergeCell ref="C65:L65"/>
    <mergeCell ref="B66:B68"/>
    <mergeCell ref="B69:C69"/>
    <mergeCell ref="C70:L70"/>
    <mergeCell ref="B71:B73"/>
    <mergeCell ref="B74:C74"/>
    <mergeCell ref="C75:L75"/>
    <mergeCell ref="B76:B78"/>
    <mergeCell ref="B79:C79"/>
    <mergeCell ref="C80:L80"/>
    <mergeCell ref="B81:B83"/>
    <mergeCell ref="B84:C84"/>
    <mergeCell ref="C85:L85"/>
    <mergeCell ref="B86:B88"/>
    <mergeCell ref="B89:C89"/>
    <mergeCell ref="C90:L90"/>
    <mergeCell ref="B91:B93"/>
    <mergeCell ref="B94:C94"/>
    <mergeCell ref="C95:L95"/>
    <mergeCell ref="B96:B98"/>
    <mergeCell ref="B99:C99"/>
    <mergeCell ref="C100:L100"/>
    <mergeCell ref="B101:B103"/>
    <mergeCell ref="B104:C104"/>
    <mergeCell ref="C105:L105"/>
    <mergeCell ref="B106:B108"/>
    <mergeCell ref="B109:C109"/>
    <mergeCell ref="C110:L110"/>
    <mergeCell ref="B111:B113"/>
    <mergeCell ref="B114:C114"/>
    <mergeCell ref="C115:L115"/>
    <mergeCell ref="B116:B118"/>
    <mergeCell ref="B119:C119"/>
    <mergeCell ref="C120:L120"/>
    <mergeCell ref="B121:B123"/>
    <mergeCell ref="B124:C124"/>
    <mergeCell ref="C125:L125"/>
    <mergeCell ref="B126:B128"/>
    <mergeCell ref="B129:C129"/>
    <mergeCell ref="C130:L130"/>
    <mergeCell ref="B131:B133"/>
    <mergeCell ref="B134:C134"/>
    <mergeCell ref="C135:L135"/>
    <mergeCell ref="B136:B138"/>
    <mergeCell ref="B139:C139"/>
    <mergeCell ref="B141:B143"/>
    <mergeCell ref="B144:C144"/>
    <mergeCell ref="C140:L140"/>
    <mergeCell ref="B154:C154"/>
    <mergeCell ref="B146:B148"/>
    <mergeCell ref="B149:C149"/>
    <mergeCell ref="C150:L150"/>
    <mergeCell ref="C145:L145"/>
    <mergeCell ref="B151:B153"/>
  </mergeCells>
  <pageMargins left="0.31496062992125984" right="0.31496062992125984" top="0.35433070866141736" bottom="0.35433070866141736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H15" sqref="H15"/>
    </sheetView>
  </sheetViews>
  <sheetFormatPr defaultRowHeight="15" x14ac:dyDescent="0.25"/>
  <cols>
    <col min="1" max="1" width="3.5703125" style="6" customWidth="1"/>
    <col min="2" max="2" width="11.28515625" customWidth="1"/>
    <col min="3" max="3" width="30.28515625" customWidth="1"/>
  </cols>
  <sheetData>
    <row r="1" spans="2:13" ht="15.75" x14ac:dyDescent="0.25">
      <c r="K1" s="351" t="s">
        <v>120</v>
      </c>
      <c r="L1" s="351"/>
      <c r="M1" s="351"/>
    </row>
    <row r="2" spans="2:13" ht="15.75" x14ac:dyDescent="0.25">
      <c r="K2" s="352" t="s">
        <v>0</v>
      </c>
      <c r="L2" s="352"/>
      <c r="M2" s="352"/>
    </row>
    <row r="3" spans="2:13" ht="15.75" x14ac:dyDescent="0.25">
      <c r="K3" s="352" t="s">
        <v>12</v>
      </c>
      <c r="L3" s="352"/>
      <c r="M3" s="352"/>
    </row>
    <row r="6" spans="2:13" ht="15.75" x14ac:dyDescent="0.25">
      <c r="B6" s="1" t="s">
        <v>111</v>
      </c>
    </row>
    <row r="7" spans="2:13" ht="19.5" customHeight="1" x14ac:dyDescent="0.25">
      <c r="B7" s="425" t="s">
        <v>1</v>
      </c>
      <c r="C7" s="399" t="s">
        <v>7</v>
      </c>
      <c r="D7" s="425" t="s">
        <v>678</v>
      </c>
      <c r="E7" s="425"/>
      <c r="F7" s="425"/>
      <c r="G7" s="425"/>
      <c r="H7" s="425"/>
      <c r="I7" s="425"/>
      <c r="J7" s="425"/>
      <c r="K7" s="425"/>
      <c r="L7" s="425"/>
      <c r="M7" s="425"/>
    </row>
    <row r="8" spans="2:13" x14ac:dyDescent="0.25">
      <c r="B8" s="425"/>
      <c r="C8" s="399"/>
      <c r="D8" s="185">
        <v>2014</v>
      </c>
      <c r="E8" s="185">
        <v>2015</v>
      </c>
      <c r="F8" s="185">
        <v>2016</v>
      </c>
      <c r="G8" s="185">
        <v>2017</v>
      </c>
      <c r="H8" s="185">
        <v>2018</v>
      </c>
      <c r="I8" s="185">
        <v>2019</v>
      </c>
      <c r="J8" s="185">
        <v>2020</v>
      </c>
      <c r="K8" s="185">
        <v>2021</v>
      </c>
      <c r="L8" s="185">
        <v>2022</v>
      </c>
      <c r="M8" s="185">
        <v>2023</v>
      </c>
    </row>
    <row r="9" spans="2:13" s="6" customFormat="1" ht="38.25" customHeight="1" x14ac:dyDescent="0.25">
      <c r="B9" s="117" t="str">
        <f>('5 lentelė'!X137)</f>
        <v>P.N.091</v>
      </c>
      <c r="C9" s="124" t="str">
        <f>('5 lentelė'!Y137)</f>
        <v>Teritorijų, kuriose įgyvendintos kraštovaizdžio formavimo priemonės (plotas)</v>
      </c>
      <c r="D9" s="117" t="s">
        <v>34</v>
      </c>
      <c r="E9" s="117" t="s">
        <v>34</v>
      </c>
      <c r="F9" s="117" t="s">
        <v>34</v>
      </c>
      <c r="G9" s="117" t="s">
        <v>34</v>
      </c>
      <c r="H9" s="117">
        <f>('5 lentelė'!AA137)</f>
        <v>0.52</v>
      </c>
      <c r="I9" s="206"/>
      <c r="J9" s="206"/>
      <c r="K9" s="206"/>
      <c r="L9" s="206"/>
      <c r="M9" s="206"/>
    </row>
    <row r="10" spans="2:13" s="6" customFormat="1" ht="39.75" customHeight="1" x14ac:dyDescent="0.25">
      <c r="B10" s="117" t="str">
        <f>('5 lentelė'!AG137)</f>
        <v>P.N.093</v>
      </c>
      <c r="C10" s="124" t="str">
        <f>('5 lentelė'!AH137)</f>
        <v>Likviduoti kraštovaizdį darkantys bešeimininkiai apleisti statiniai ir įrenginiai (skaičius)</v>
      </c>
      <c r="D10" s="117" t="s">
        <v>34</v>
      </c>
      <c r="E10" s="117" t="s">
        <v>34</v>
      </c>
      <c r="F10" s="117" t="s">
        <v>34</v>
      </c>
      <c r="G10" s="117" t="s">
        <v>34</v>
      </c>
      <c r="H10" s="117">
        <f>('5 lentelė'!AJ137)</f>
        <v>3</v>
      </c>
      <c r="I10" s="206"/>
      <c r="J10" s="206"/>
      <c r="K10" s="206"/>
      <c r="L10" s="206"/>
      <c r="M10" s="206"/>
    </row>
    <row r="11" spans="2:13" s="6" customFormat="1" x14ac:dyDescent="0.25">
      <c r="B11" s="117" t="str">
        <f>('5 lentelė'!X34)</f>
        <v>P.N.507</v>
      </c>
      <c r="C11" s="124" t="str">
        <f>('5 lentelė'!Y34)</f>
        <v>Parengti darnaus judumo mieste planai</v>
      </c>
      <c r="D11" s="117" t="s">
        <v>34</v>
      </c>
      <c r="E11" s="117" t="s">
        <v>34</v>
      </c>
      <c r="F11" s="117" t="s">
        <v>34</v>
      </c>
      <c r="G11" s="41">
        <f>('5 lentelė'!Z34)</f>
        <v>1</v>
      </c>
      <c r="H11" s="41">
        <f>('5 lentelė'!Z34)</f>
        <v>1</v>
      </c>
      <c r="I11" s="206"/>
      <c r="J11" s="206"/>
      <c r="K11" s="206"/>
      <c r="L11" s="206"/>
      <c r="M11" s="206"/>
    </row>
    <row r="12" spans="2:13" s="6" customFormat="1" ht="33.75" customHeight="1" x14ac:dyDescent="0.25">
      <c r="B12" s="117" t="str">
        <f>('5 lentelė'!X39)</f>
        <v>P.S.321</v>
      </c>
      <c r="C12" s="124" t="str">
        <f>('5 lentelė'!Y39)</f>
        <v>Įrengtų naujų dviračių ir / ar pėsčiųjų takų ir / ar trasų ilgis (km)</v>
      </c>
      <c r="D12" s="117" t="s">
        <v>34</v>
      </c>
      <c r="E12" s="117" t="s">
        <v>34</v>
      </c>
      <c r="F12" s="117" t="s">
        <v>34</v>
      </c>
      <c r="G12" s="117">
        <f>('5 lentelė'!Z39)</f>
        <v>1.4</v>
      </c>
      <c r="H12" s="117">
        <f>('5 lentelė'!Z39)</f>
        <v>1.4</v>
      </c>
      <c r="I12" s="206"/>
      <c r="J12" s="206"/>
      <c r="K12" s="206"/>
      <c r="L12" s="206"/>
      <c r="M12" s="206"/>
    </row>
    <row r="13" spans="2:13" s="6" customFormat="1" ht="33.75" customHeight="1" x14ac:dyDescent="0.25">
      <c r="B13" s="117" t="str">
        <f>('5 lentelė'!X123)</f>
        <v>P.S.333</v>
      </c>
      <c r="C13" s="124" t="str">
        <f>('5 lentelė'!Y123)</f>
        <v>Rekonstruotų vandens tiekimo ir nuotekų surinkimo tinklų ilgis (km)</v>
      </c>
      <c r="D13" s="117" t="s">
        <v>34</v>
      </c>
      <c r="E13" s="117" t="s">
        <v>34</v>
      </c>
      <c r="F13" s="117" t="s">
        <v>34</v>
      </c>
      <c r="G13" s="41">
        <f>('5 lentelė'!Z123)</f>
        <v>3.21</v>
      </c>
      <c r="H13" s="117">
        <f>('5 lentelė'!AA120+'5 lentelė'!AB123)</f>
        <v>5.77</v>
      </c>
      <c r="I13" s="206"/>
      <c r="J13" s="206"/>
      <c r="K13" s="206"/>
      <c r="L13" s="206"/>
      <c r="M13" s="206"/>
    </row>
    <row r="14" spans="2:13" s="6" customFormat="1" ht="31.5" customHeight="1" x14ac:dyDescent="0.25">
      <c r="B14" s="117" t="str">
        <f>('5 lentelė'!X103)</f>
        <v>P.S.361</v>
      </c>
      <c r="C14" s="124" t="str">
        <f>('5 lentelė'!Y103)</f>
        <v>Investicijas gavę socialinių paslaugų infrastruktūros objektai (vnt.)</v>
      </c>
      <c r="D14" s="117" t="s">
        <v>34</v>
      </c>
      <c r="E14" s="117" t="s">
        <v>34</v>
      </c>
      <c r="F14" s="117" t="s">
        <v>34</v>
      </c>
      <c r="G14" s="41" t="s">
        <v>34</v>
      </c>
      <c r="H14" s="117">
        <f>('5 lentelė'!AA103)</f>
        <v>1</v>
      </c>
      <c r="I14" s="206"/>
      <c r="J14" s="206"/>
      <c r="K14" s="206"/>
      <c r="L14" s="206"/>
      <c r="M14" s="206"/>
    </row>
    <row r="15" spans="2:13" s="6" customFormat="1" ht="24" x14ac:dyDescent="0.25">
      <c r="B15" s="117" t="str">
        <f>('5 lentelė'!X109)</f>
        <v>P.S.362</v>
      </c>
      <c r="C15" s="124" t="str">
        <f>('5 lentelė'!Y109)</f>
        <v>Naujai įrengti ar įsigyti socialiniai būstai (vnt.)</v>
      </c>
      <c r="D15" s="117" t="s">
        <v>34</v>
      </c>
      <c r="E15" s="117" t="s">
        <v>34</v>
      </c>
      <c r="F15" s="117" t="s">
        <v>34</v>
      </c>
      <c r="G15" s="41">
        <f>('5 lentelė'!Z109)+('5 lentelė'!Z110)</f>
        <v>15</v>
      </c>
      <c r="H15" s="117">
        <f>('5 lentelė'!AA109)+('5 lentelė'!AB110)</f>
        <v>25</v>
      </c>
      <c r="I15" s="206"/>
      <c r="J15" s="206"/>
      <c r="K15" s="206"/>
      <c r="L15" s="206"/>
      <c r="M15" s="206"/>
    </row>
    <row r="16" spans="2:13" ht="24" x14ac:dyDescent="0.25">
      <c r="B16" s="117" t="str">
        <f>('5 lentelė'!AP103)</f>
        <v>R.N.404</v>
      </c>
      <c r="C16" s="124" t="str">
        <f>('5 lentelė'!AQ103)</f>
        <v xml:space="preserve">Investicijas gavusiose įstaigose esančios vietos socialinių paslaugų gavėjams </v>
      </c>
      <c r="D16" s="117" t="s">
        <v>34</v>
      </c>
      <c r="E16" s="117" t="s">
        <v>34</v>
      </c>
      <c r="F16" s="117" t="s">
        <v>34</v>
      </c>
      <c r="G16" s="41" t="s">
        <v>34</v>
      </c>
      <c r="H16" s="117">
        <f>('5 lentelė'!AS103)</f>
        <v>38</v>
      </c>
      <c r="I16" s="310"/>
      <c r="J16" s="310"/>
      <c r="K16" s="310"/>
      <c r="L16" s="310"/>
      <c r="M16" s="310"/>
    </row>
  </sheetData>
  <mergeCells count="6">
    <mergeCell ref="B7:B8"/>
    <mergeCell ref="K1:M1"/>
    <mergeCell ref="K2:M2"/>
    <mergeCell ref="K3:M3"/>
    <mergeCell ref="D7:M7"/>
    <mergeCell ref="C7:C8"/>
  </mergeCells>
  <pageMargins left="0" right="0" top="0" bottom="0" header="0" footer="0"/>
  <pageSetup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topLeftCell="A127" zoomScale="80" zoomScaleNormal="80" workbookViewId="0">
      <selection activeCell="K143" sqref="K143"/>
    </sheetView>
  </sheetViews>
  <sheetFormatPr defaultRowHeight="15" x14ac:dyDescent="0.25"/>
  <cols>
    <col min="1" max="1" width="4.28515625" style="6" customWidth="1"/>
    <col min="3" max="3" width="17.42578125" customWidth="1"/>
    <col min="4" max="4" width="38.42578125" customWidth="1"/>
    <col min="5" max="5" width="11.140625" customWidth="1"/>
    <col min="6" max="6" width="11.42578125" customWidth="1"/>
    <col min="7" max="7" width="9.42578125" customWidth="1"/>
    <col min="8" max="8" width="19.28515625" customWidth="1"/>
    <col min="9" max="9" width="6.5703125" customWidth="1"/>
    <col min="10" max="10" width="7.85546875" style="6" customWidth="1"/>
    <col min="11" max="11" width="12.140625" customWidth="1"/>
    <col min="12" max="12" width="12.28515625" customWidth="1"/>
    <col min="13" max="13" width="9.5703125" customWidth="1"/>
    <col min="14" max="15" width="10" bestFit="1" customWidth="1"/>
    <col min="16" max="16" width="12.5703125" style="6" bestFit="1" customWidth="1"/>
    <col min="17" max="17" width="10.5703125" customWidth="1"/>
    <col min="18" max="19" width="9.28515625" bestFit="1" customWidth="1"/>
    <col min="20" max="20" width="9.5703125" customWidth="1"/>
  </cols>
  <sheetData>
    <row r="1" spans="2:23" ht="15.75" x14ac:dyDescent="0.25">
      <c r="K1" s="34"/>
      <c r="L1" s="34"/>
      <c r="M1" s="34"/>
      <c r="O1" s="34"/>
      <c r="P1" s="34"/>
      <c r="Q1" s="195" t="s">
        <v>120</v>
      </c>
      <c r="R1" s="196"/>
      <c r="S1" s="196"/>
      <c r="U1" s="34"/>
      <c r="V1" s="34"/>
    </row>
    <row r="2" spans="2:23" ht="15.75" x14ac:dyDescent="0.25">
      <c r="K2" s="34"/>
      <c r="L2" s="34"/>
      <c r="M2" s="34"/>
      <c r="O2" s="34"/>
      <c r="P2" s="34"/>
      <c r="Q2" s="195" t="s">
        <v>0</v>
      </c>
      <c r="R2" s="195"/>
      <c r="S2" s="195"/>
      <c r="U2" s="34"/>
      <c r="V2" s="34"/>
    </row>
    <row r="3" spans="2:23" ht="15.75" x14ac:dyDescent="0.25">
      <c r="K3" s="34"/>
      <c r="L3" s="34"/>
      <c r="M3" s="34"/>
      <c r="O3" s="34"/>
      <c r="P3" s="34"/>
      <c r="Q3" s="195" t="s">
        <v>12</v>
      </c>
      <c r="R3" s="195"/>
      <c r="S3" s="195"/>
      <c r="U3" s="34"/>
      <c r="V3" s="34"/>
    </row>
    <row r="4" spans="2:23" ht="15.75" x14ac:dyDescent="0.25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23" ht="15.75" x14ac:dyDescent="0.25">
      <c r="B5" s="207" t="s">
        <v>13</v>
      </c>
      <c r="C5" s="208"/>
      <c r="D5" s="208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385"/>
      <c r="T5" s="385"/>
      <c r="U5" s="11"/>
      <c r="V5" s="11"/>
      <c r="W5" s="11"/>
    </row>
    <row r="6" spans="2:23" ht="25.5" customHeight="1" x14ac:dyDescent="0.25">
      <c r="B6" s="378" t="s">
        <v>14</v>
      </c>
      <c r="C6" s="378"/>
      <c r="D6" s="378"/>
      <c r="E6" s="378"/>
      <c r="F6" s="378"/>
      <c r="G6" s="378"/>
      <c r="H6" s="378"/>
      <c r="I6" s="378"/>
      <c r="J6" s="378"/>
      <c r="K6" s="378" t="s">
        <v>15</v>
      </c>
      <c r="L6" s="378"/>
      <c r="M6" s="378"/>
      <c r="N6" s="378"/>
      <c r="O6" s="378"/>
      <c r="P6" s="378"/>
      <c r="Q6" s="378"/>
      <c r="R6" s="378" t="s">
        <v>16</v>
      </c>
      <c r="S6" s="378"/>
      <c r="T6" s="378"/>
    </row>
    <row r="7" spans="2:23" ht="76.5" customHeight="1" x14ac:dyDescent="0.25">
      <c r="B7" s="200" t="s">
        <v>4</v>
      </c>
      <c r="C7" s="200" t="s">
        <v>115</v>
      </c>
      <c r="D7" s="200" t="s">
        <v>17</v>
      </c>
      <c r="E7" s="96" t="s">
        <v>121</v>
      </c>
      <c r="F7" s="200" t="s">
        <v>18</v>
      </c>
      <c r="G7" s="200" t="s">
        <v>19</v>
      </c>
      <c r="H7" s="200" t="s">
        <v>20</v>
      </c>
      <c r="I7" s="200" t="s">
        <v>21</v>
      </c>
      <c r="J7" s="200" t="s">
        <v>22</v>
      </c>
      <c r="K7" s="200" t="s">
        <v>23</v>
      </c>
      <c r="L7" s="200" t="s">
        <v>24</v>
      </c>
      <c r="M7" s="200" t="s">
        <v>25</v>
      </c>
      <c r="N7" s="200" t="s">
        <v>26</v>
      </c>
      <c r="O7" s="200" t="s">
        <v>27</v>
      </c>
      <c r="P7" s="200" t="s">
        <v>28</v>
      </c>
      <c r="Q7" s="96" t="s">
        <v>122</v>
      </c>
      <c r="R7" s="200" t="s">
        <v>29</v>
      </c>
      <c r="S7" s="200" t="s">
        <v>30</v>
      </c>
      <c r="T7" s="200" t="s">
        <v>31</v>
      </c>
    </row>
    <row r="8" spans="2:23" ht="15.75" customHeight="1" x14ac:dyDescent="0.25">
      <c r="B8" s="97" t="s">
        <v>32</v>
      </c>
      <c r="C8" s="97"/>
      <c r="D8" s="359" t="s">
        <v>655</v>
      </c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1"/>
    </row>
    <row r="9" spans="2:23" ht="15" customHeight="1" x14ac:dyDescent="0.25">
      <c r="B9" s="97" t="s">
        <v>33</v>
      </c>
      <c r="C9" s="97"/>
      <c r="D9" s="359" t="s">
        <v>290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1"/>
    </row>
    <row r="10" spans="2:23" ht="15" customHeight="1" x14ac:dyDescent="0.25">
      <c r="B10" s="97" t="s">
        <v>6</v>
      </c>
      <c r="C10" s="97"/>
      <c r="D10" s="359" t="s">
        <v>291</v>
      </c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1"/>
    </row>
    <row r="11" spans="2:23" ht="15" customHeight="1" x14ac:dyDescent="0.25">
      <c r="B11" s="98" t="s">
        <v>35</v>
      </c>
      <c r="C11" s="98"/>
      <c r="D11" s="362" t="s">
        <v>292</v>
      </c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4"/>
    </row>
    <row r="12" spans="2:23" ht="27.75" customHeight="1" x14ac:dyDescent="0.25">
      <c r="B12" s="93" t="s">
        <v>36</v>
      </c>
      <c r="C12" s="93"/>
      <c r="D12" s="78" t="s">
        <v>293</v>
      </c>
      <c r="E12" s="54" t="s">
        <v>294</v>
      </c>
      <c r="F12" s="55" t="s">
        <v>295</v>
      </c>
      <c r="G12" s="55" t="s">
        <v>296</v>
      </c>
      <c r="H12" s="55" t="s">
        <v>297</v>
      </c>
      <c r="I12" s="55" t="s">
        <v>298</v>
      </c>
      <c r="J12" s="93"/>
      <c r="K12" s="45">
        <f>SUM(L12:Q12)</f>
        <v>996471.76</v>
      </c>
      <c r="L12" s="45">
        <v>74735.38</v>
      </c>
      <c r="M12" s="45">
        <v>74735.38</v>
      </c>
      <c r="N12" s="45"/>
      <c r="O12" s="45"/>
      <c r="P12" s="45">
        <v>847001</v>
      </c>
      <c r="Q12" s="99"/>
      <c r="R12" s="46">
        <v>42735</v>
      </c>
      <c r="S12" s="46">
        <v>42733</v>
      </c>
      <c r="T12" s="86" t="str">
        <f>IF(R12-S12&lt;0,(R12-S12)/30.41667,"–")</f>
        <v>–</v>
      </c>
    </row>
    <row r="13" spans="2:23" ht="27" customHeight="1" x14ac:dyDescent="0.25">
      <c r="B13" s="93" t="s">
        <v>37</v>
      </c>
      <c r="C13" s="93"/>
      <c r="D13" s="43" t="s">
        <v>303</v>
      </c>
      <c r="E13" s="54" t="s">
        <v>304</v>
      </c>
      <c r="F13" s="55" t="s">
        <v>295</v>
      </c>
      <c r="G13" s="55" t="s">
        <v>305</v>
      </c>
      <c r="H13" s="55" t="s">
        <v>297</v>
      </c>
      <c r="I13" s="55" t="s">
        <v>298</v>
      </c>
      <c r="J13" s="93"/>
      <c r="K13" s="45">
        <f>SUM(L13:Q13)</f>
        <v>870553</v>
      </c>
      <c r="L13" s="45">
        <v>65292</v>
      </c>
      <c r="M13" s="45">
        <v>65291</v>
      </c>
      <c r="N13" s="45"/>
      <c r="O13" s="45"/>
      <c r="P13" s="45">
        <v>739970</v>
      </c>
      <c r="Q13" s="99"/>
      <c r="R13" s="46">
        <v>42612</v>
      </c>
      <c r="S13" s="46">
        <v>42591</v>
      </c>
      <c r="T13" s="86" t="str">
        <f>IF(R13-S13&lt;0,(R13-S13)/30.41667,"–")</f>
        <v>–</v>
      </c>
    </row>
    <row r="14" spans="2:23" x14ac:dyDescent="0.25">
      <c r="B14" s="98" t="s">
        <v>38</v>
      </c>
      <c r="C14" s="98"/>
      <c r="D14" s="362" t="s">
        <v>306</v>
      </c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4"/>
    </row>
    <row r="15" spans="2:23" ht="24" x14ac:dyDescent="0.25">
      <c r="B15" s="93" t="s">
        <v>39</v>
      </c>
      <c r="C15" s="93"/>
      <c r="D15" s="47" t="s">
        <v>307</v>
      </c>
      <c r="E15" s="53" t="s">
        <v>308</v>
      </c>
      <c r="F15" s="53" t="s">
        <v>295</v>
      </c>
      <c r="G15" s="53" t="s">
        <v>309</v>
      </c>
      <c r="H15" s="53" t="s">
        <v>310</v>
      </c>
      <c r="I15" s="53" t="s">
        <v>298</v>
      </c>
      <c r="J15" s="53" t="s">
        <v>311</v>
      </c>
      <c r="K15" s="49">
        <f>SUM(L15:Q15)</f>
        <v>511094</v>
      </c>
      <c r="L15" s="49">
        <v>38332</v>
      </c>
      <c r="M15" s="49">
        <v>38332</v>
      </c>
      <c r="N15" s="49"/>
      <c r="O15" s="49"/>
      <c r="P15" s="49">
        <v>434430</v>
      </c>
      <c r="Q15" s="99"/>
      <c r="R15" s="50">
        <v>42704</v>
      </c>
      <c r="S15" s="50">
        <v>42688</v>
      </c>
      <c r="T15" s="86" t="str">
        <f>IF(R15-S15&lt;0,(R15-S15)/30.41667,"–")</f>
        <v>–</v>
      </c>
    </row>
    <row r="16" spans="2:23" ht="36" x14ac:dyDescent="0.25">
      <c r="B16" s="93" t="s">
        <v>40</v>
      </c>
      <c r="C16" s="93"/>
      <c r="D16" s="47" t="s">
        <v>315</v>
      </c>
      <c r="E16" s="53" t="s">
        <v>308</v>
      </c>
      <c r="F16" s="53" t="s">
        <v>295</v>
      </c>
      <c r="G16" s="53" t="s">
        <v>309</v>
      </c>
      <c r="H16" s="53" t="s">
        <v>310</v>
      </c>
      <c r="I16" s="53" t="s">
        <v>298</v>
      </c>
      <c r="J16" s="53" t="s">
        <v>311</v>
      </c>
      <c r="K16" s="49">
        <f>SUM(L16:Q16)</f>
        <v>406458</v>
      </c>
      <c r="L16" s="49">
        <v>30485</v>
      </c>
      <c r="M16" s="49">
        <v>30484</v>
      </c>
      <c r="N16" s="49"/>
      <c r="O16" s="49"/>
      <c r="P16" s="49">
        <v>345489</v>
      </c>
      <c r="Q16" s="99"/>
      <c r="R16" s="50">
        <v>42704</v>
      </c>
      <c r="S16" s="50">
        <v>42688</v>
      </c>
      <c r="T16" s="86" t="str">
        <f>IF(R16-S16&lt;0,(R16-S16)/30.41667,"–")</f>
        <v>–</v>
      </c>
    </row>
    <row r="17" spans="2:20" s="6" customFormat="1" ht="15" customHeight="1" x14ac:dyDescent="0.25">
      <c r="B17" s="98" t="s">
        <v>316</v>
      </c>
      <c r="C17" s="100"/>
      <c r="D17" s="356" t="s">
        <v>317</v>
      </c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8"/>
    </row>
    <row r="18" spans="2:20" s="6" customFormat="1" ht="36" x14ac:dyDescent="0.25">
      <c r="B18" s="93" t="s">
        <v>318</v>
      </c>
      <c r="C18" s="93"/>
      <c r="D18" s="43" t="s">
        <v>319</v>
      </c>
      <c r="E18" s="54" t="s">
        <v>304</v>
      </c>
      <c r="F18" s="55" t="s">
        <v>295</v>
      </c>
      <c r="G18" s="55" t="s">
        <v>320</v>
      </c>
      <c r="H18" s="55" t="s">
        <v>321</v>
      </c>
      <c r="I18" s="55" t="s">
        <v>322</v>
      </c>
      <c r="J18" s="55" t="s">
        <v>311</v>
      </c>
      <c r="K18" s="49">
        <f>SUM(L18:Q18)</f>
        <v>1022250</v>
      </c>
      <c r="L18" s="45">
        <v>76682</v>
      </c>
      <c r="M18" s="45">
        <v>76668</v>
      </c>
      <c r="N18" s="45"/>
      <c r="O18" s="45"/>
      <c r="P18" s="45">
        <v>868900</v>
      </c>
      <c r="Q18" s="99"/>
      <c r="R18" s="46">
        <v>42338</v>
      </c>
      <c r="S18" s="50">
        <v>42332</v>
      </c>
      <c r="T18" s="86" t="str">
        <f>IF(R18-S18&lt;0,(R18-S18)/30.41667,"–")</f>
        <v>–</v>
      </c>
    </row>
    <row r="19" spans="2:20" s="6" customFormat="1" ht="15" customHeight="1" x14ac:dyDescent="0.25">
      <c r="B19" s="98" t="s">
        <v>324</v>
      </c>
      <c r="C19" s="100"/>
      <c r="D19" s="356" t="s">
        <v>325</v>
      </c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8"/>
    </row>
    <row r="20" spans="2:20" s="6" customFormat="1" ht="24" x14ac:dyDescent="0.25">
      <c r="B20" s="93" t="s">
        <v>326</v>
      </c>
      <c r="C20" s="93"/>
      <c r="D20" s="43" t="s">
        <v>327</v>
      </c>
      <c r="E20" s="54" t="s">
        <v>328</v>
      </c>
      <c r="F20" s="55" t="s">
        <v>295</v>
      </c>
      <c r="G20" s="55" t="s">
        <v>329</v>
      </c>
      <c r="H20" s="55" t="s">
        <v>330</v>
      </c>
      <c r="I20" s="55" t="s">
        <v>298</v>
      </c>
      <c r="J20" s="55" t="s">
        <v>311</v>
      </c>
      <c r="K20" s="49">
        <f>SUM(L20:Q20)</f>
        <v>461773</v>
      </c>
      <c r="L20" s="45">
        <v>34633</v>
      </c>
      <c r="M20" s="45">
        <v>34633</v>
      </c>
      <c r="N20" s="45"/>
      <c r="O20" s="45"/>
      <c r="P20" s="45">
        <v>392507</v>
      </c>
      <c r="Q20" s="99"/>
      <c r="R20" s="46">
        <v>42521</v>
      </c>
      <c r="S20" s="46">
        <v>42520</v>
      </c>
      <c r="T20" s="86" t="str">
        <f>IF(R20-S20&lt;0,(R20-S20)/30.41667,"–")</f>
        <v>–</v>
      </c>
    </row>
    <row r="21" spans="2:20" s="6" customFormat="1" ht="15" customHeight="1" x14ac:dyDescent="0.25">
      <c r="B21" s="101" t="s">
        <v>656</v>
      </c>
      <c r="C21" s="102"/>
      <c r="D21" s="379" t="s">
        <v>331</v>
      </c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1"/>
    </row>
    <row r="22" spans="2:20" s="6" customFormat="1" ht="15" customHeight="1" x14ac:dyDescent="0.25">
      <c r="B22" s="98" t="s">
        <v>332</v>
      </c>
      <c r="C22" s="210"/>
      <c r="D22" s="356" t="s">
        <v>333</v>
      </c>
      <c r="E22" s="357"/>
      <c r="F22" s="357"/>
      <c r="G22" s="357"/>
      <c r="H22" s="357"/>
      <c r="I22" s="357"/>
      <c r="J22" s="357"/>
      <c r="K22" s="211">
        <v>3321362</v>
      </c>
      <c r="L22" s="212"/>
      <c r="M22" s="212"/>
      <c r="N22" s="212"/>
      <c r="O22" s="212"/>
      <c r="P22" s="212"/>
      <c r="Q22" s="212"/>
      <c r="R22" s="212"/>
      <c r="S22" s="212"/>
      <c r="T22" s="213"/>
    </row>
    <row r="23" spans="2:20" s="6" customFormat="1" x14ac:dyDescent="0.25">
      <c r="B23" s="55" t="s">
        <v>660</v>
      </c>
      <c r="C23" s="103"/>
      <c r="D23" s="214"/>
      <c r="E23" s="214"/>
      <c r="F23" s="214"/>
      <c r="G23" s="214"/>
      <c r="H23" s="214"/>
      <c r="I23" s="214"/>
      <c r="J23" s="214"/>
      <c r="K23" s="215"/>
      <c r="L23" s="104"/>
      <c r="M23" s="104"/>
      <c r="N23" s="104"/>
      <c r="O23" s="104"/>
      <c r="P23" s="104"/>
      <c r="Q23" s="104"/>
      <c r="R23" s="104"/>
      <c r="S23" s="104"/>
      <c r="T23" s="104"/>
    </row>
    <row r="24" spans="2:20" s="6" customFormat="1" x14ac:dyDescent="0.25">
      <c r="B24" s="101" t="s">
        <v>657</v>
      </c>
      <c r="C24" s="102"/>
      <c r="D24" s="374" t="s">
        <v>335</v>
      </c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6"/>
    </row>
    <row r="25" spans="2:20" s="6" customFormat="1" x14ac:dyDescent="0.25">
      <c r="B25" s="101" t="s">
        <v>658</v>
      </c>
      <c r="C25" s="102"/>
      <c r="D25" s="374" t="s">
        <v>336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6"/>
    </row>
    <row r="26" spans="2:20" s="6" customFormat="1" x14ac:dyDescent="0.25">
      <c r="B26" s="105" t="s">
        <v>337</v>
      </c>
      <c r="C26" s="100"/>
      <c r="D26" s="365" t="s">
        <v>338</v>
      </c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7"/>
    </row>
    <row r="27" spans="2:20" s="6" customFormat="1" ht="24" x14ac:dyDescent="0.25">
      <c r="B27" s="92" t="s">
        <v>339</v>
      </c>
      <c r="C27" s="93"/>
      <c r="D27" s="78" t="s">
        <v>340</v>
      </c>
      <c r="E27" s="54" t="s">
        <v>294</v>
      </c>
      <c r="F27" s="55" t="s">
        <v>341</v>
      </c>
      <c r="G27" s="55" t="s">
        <v>342</v>
      </c>
      <c r="H27" s="55" t="s">
        <v>343</v>
      </c>
      <c r="I27" s="55" t="s">
        <v>298</v>
      </c>
      <c r="J27" s="55"/>
      <c r="K27" s="49">
        <f>SUM(L27:Q27)</f>
        <v>822057.65</v>
      </c>
      <c r="L27" s="45">
        <v>123308.65</v>
      </c>
      <c r="M27" s="45"/>
      <c r="N27" s="45"/>
      <c r="O27" s="45"/>
      <c r="P27" s="45">
        <v>698749</v>
      </c>
      <c r="Q27" s="99"/>
      <c r="R27" s="46">
        <v>42704</v>
      </c>
      <c r="S27" s="46">
        <v>42688</v>
      </c>
      <c r="T27" s="86" t="str">
        <f>IF(R27-S27&lt;0,(R27-S27)/30.41667,"–")</f>
        <v>–</v>
      </c>
    </row>
    <row r="28" spans="2:20" s="6" customFormat="1" ht="24" x14ac:dyDescent="0.25">
      <c r="B28" s="92" t="s">
        <v>347</v>
      </c>
      <c r="C28" s="93"/>
      <c r="D28" s="43" t="s">
        <v>348</v>
      </c>
      <c r="E28" s="54" t="s">
        <v>308</v>
      </c>
      <c r="F28" s="55" t="s">
        <v>341</v>
      </c>
      <c r="G28" s="55" t="s">
        <v>349</v>
      </c>
      <c r="H28" s="55" t="s">
        <v>343</v>
      </c>
      <c r="I28" s="55" t="s">
        <v>298</v>
      </c>
      <c r="J28" s="55" t="s">
        <v>311</v>
      </c>
      <c r="K28" s="49">
        <f t="shared" ref="K28:K41" si="0">SUM(L28:Q28)</f>
        <v>336192.2</v>
      </c>
      <c r="L28" s="45">
        <v>43873.7</v>
      </c>
      <c r="M28" s="45"/>
      <c r="N28" s="45"/>
      <c r="O28" s="45">
        <v>23701.5</v>
      </c>
      <c r="P28" s="45">
        <v>268617</v>
      </c>
      <c r="Q28" s="99"/>
      <c r="R28" s="46">
        <v>42704</v>
      </c>
      <c r="S28" s="46">
        <v>42688</v>
      </c>
      <c r="T28" s="86" t="str">
        <f t="shared" ref="T28:T31" si="1">IF(R28-S28&lt;0,(R28-S28)/30.41667,"–")</f>
        <v>–</v>
      </c>
    </row>
    <row r="29" spans="2:20" s="6" customFormat="1" ht="24" x14ac:dyDescent="0.25">
      <c r="B29" s="92" t="s">
        <v>354</v>
      </c>
      <c r="C29" s="93"/>
      <c r="D29" s="78" t="s">
        <v>355</v>
      </c>
      <c r="E29" s="54" t="s">
        <v>328</v>
      </c>
      <c r="F29" s="55" t="s">
        <v>341</v>
      </c>
      <c r="G29" s="55" t="s">
        <v>356</v>
      </c>
      <c r="H29" s="55" t="s">
        <v>343</v>
      </c>
      <c r="I29" s="55" t="s">
        <v>298</v>
      </c>
      <c r="J29" s="55" t="s">
        <v>311</v>
      </c>
      <c r="K29" s="49">
        <f t="shared" si="0"/>
        <v>794019</v>
      </c>
      <c r="L29" s="45">
        <v>59552</v>
      </c>
      <c r="M29" s="45"/>
      <c r="N29" s="45"/>
      <c r="O29" s="45">
        <v>59551</v>
      </c>
      <c r="P29" s="45">
        <v>674916</v>
      </c>
      <c r="Q29" s="99"/>
      <c r="R29" s="46">
        <v>42704</v>
      </c>
      <c r="S29" s="46">
        <v>42688</v>
      </c>
      <c r="T29" s="86" t="str">
        <f t="shared" si="1"/>
        <v>–</v>
      </c>
    </row>
    <row r="30" spans="2:20" s="6" customFormat="1" ht="24" x14ac:dyDescent="0.25">
      <c r="B30" s="92" t="s">
        <v>357</v>
      </c>
      <c r="C30" s="93"/>
      <c r="D30" s="43" t="s">
        <v>358</v>
      </c>
      <c r="E30" s="54" t="s">
        <v>328</v>
      </c>
      <c r="F30" s="55" t="s">
        <v>341</v>
      </c>
      <c r="G30" s="55" t="s">
        <v>356</v>
      </c>
      <c r="H30" s="55" t="s">
        <v>343</v>
      </c>
      <c r="I30" s="55" t="s">
        <v>298</v>
      </c>
      <c r="J30" s="55" t="s">
        <v>311</v>
      </c>
      <c r="K30" s="49">
        <f t="shared" si="0"/>
        <v>194118</v>
      </c>
      <c r="L30" s="45">
        <v>64860</v>
      </c>
      <c r="M30" s="45"/>
      <c r="N30" s="45"/>
      <c r="O30" s="45">
        <v>14558</v>
      </c>
      <c r="P30" s="45">
        <v>114700</v>
      </c>
      <c r="Q30" s="99"/>
      <c r="R30" s="46">
        <v>42704</v>
      </c>
      <c r="S30" s="46">
        <v>42688</v>
      </c>
      <c r="T30" s="86" t="str">
        <f t="shared" si="1"/>
        <v>–</v>
      </c>
    </row>
    <row r="31" spans="2:20" s="6" customFormat="1" ht="24" x14ac:dyDescent="0.25">
      <c r="B31" s="92" t="s">
        <v>359</v>
      </c>
      <c r="C31" s="93"/>
      <c r="D31" s="78" t="s">
        <v>360</v>
      </c>
      <c r="E31" s="54" t="s">
        <v>304</v>
      </c>
      <c r="F31" s="55" t="s">
        <v>341</v>
      </c>
      <c r="G31" s="55" t="s">
        <v>320</v>
      </c>
      <c r="H31" s="55" t="s">
        <v>343</v>
      </c>
      <c r="I31" s="55" t="s">
        <v>298</v>
      </c>
      <c r="J31" s="55" t="s">
        <v>311</v>
      </c>
      <c r="K31" s="45">
        <f t="shared" si="0"/>
        <v>1866751.15</v>
      </c>
      <c r="L31" s="45">
        <v>678877.04</v>
      </c>
      <c r="M31" s="45"/>
      <c r="N31" s="45"/>
      <c r="O31" s="45">
        <v>96314.11</v>
      </c>
      <c r="P31" s="45">
        <v>1091560</v>
      </c>
      <c r="Q31" s="99"/>
      <c r="R31" s="46">
        <v>42704</v>
      </c>
      <c r="S31" s="46">
        <v>42688</v>
      </c>
      <c r="T31" s="86" t="str">
        <f t="shared" si="1"/>
        <v>–</v>
      </c>
    </row>
    <row r="32" spans="2:20" s="6" customFormat="1" x14ac:dyDescent="0.25">
      <c r="B32" s="105" t="s">
        <v>361</v>
      </c>
      <c r="C32" s="100"/>
      <c r="D32" s="356" t="s">
        <v>362</v>
      </c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8"/>
    </row>
    <row r="33" spans="2:20" s="6" customFormat="1" ht="24" x14ac:dyDescent="0.25">
      <c r="B33" s="92" t="s">
        <v>363</v>
      </c>
      <c r="C33" s="93"/>
      <c r="D33" s="43" t="s">
        <v>364</v>
      </c>
      <c r="E33" s="54" t="s">
        <v>304</v>
      </c>
      <c r="F33" s="55" t="s">
        <v>341</v>
      </c>
      <c r="G33" s="55" t="s">
        <v>320</v>
      </c>
      <c r="H33" s="55" t="s">
        <v>365</v>
      </c>
      <c r="I33" s="55" t="s">
        <v>298</v>
      </c>
      <c r="J33" s="55" t="s">
        <v>311</v>
      </c>
      <c r="K33" s="45">
        <f t="shared" si="0"/>
        <v>1277647</v>
      </c>
      <c r="L33" s="45">
        <v>191647</v>
      </c>
      <c r="M33" s="45"/>
      <c r="N33" s="45"/>
      <c r="O33" s="45"/>
      <c r="P33" s="45">
        <v>1086000</v>
      </c>
      <c r="Q33" s="99"/>
      <c r="R33" s="46">
        <v>43344</v>
      </c>
      <c r="S33" s="106">
        <v>43282</v>
      </c>
      <c r="T33" s="86" t="s">
        <v>34</v>
      </c>
    </row>
    <row r="34" spans="2:20" s="6" customFormat="1" ht="24" x14ac:dyDescent="0.25">
      <c r="B34" s="92" t="s">
        <v>369</v>
      </c>
      <c r="C34" s="93"/>
      <c r="D34" s="43" t="s">
        <v>370</v>
      </c>
      <c r="E34" s="54" t="s">
        <v>304</v>
      </c>
      <c r="F34" s="55" t="s">
        <v>341</v>
      </c>
      <c r="G34" s="55" t="s">
        <v>320</v>
      </c>
      <c r="H34" s="55" t="s">
        <v>371</v>
      </c>
      <c r="I34" s="55" t="s">
        <v>322</v>
      </c>
      <c r="J34" s="55" t="s">
        <v>311</v>
      </c>
      <c r="K34" s="45">
        <f t="shared" si="0"/>
        <v>11900</v>
      </c>
      <c r="L34" s="45">
        <v>1785</v>
      </c>
      <c r="M34" s="45"/>
      <c r="N34" s="45"/>
      <c r="O34" s="45"/>
      <c r="P34" s="45">
        <v>10115</v>
      </c>
      <c r="Q34" s="99"/>
      <c r="R34" s="46">
        <v>42673</v>
      </c>
      <c r="S34" s="46">
        <v>42653</v>
      </c>
      <c r="T34" s="86" t="str">
        <f t="shared" ref="T34" si="2">IF(R34-S34&lt;0,(R34-S34)/30.41667,"–")</f>
        <v>–</v>
      </c>
    </row>
    <row r="35" spans="2:20" s="6" customFormat="1" ht="15" customHeight="1" x14ac:dyDescent="0.25">
      <c r="B35" s="105" t="s">
        <v>374</v>
      </c>
      <c r="C35" s="98"/>
      <c r="D35" s="356" t="s">
        <v>375</v>
      </c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8"/>
    </row>
    <row r="36" spans="2:20" s="6" customFormat="1" ht="24" x14ac:dyDescent="0.25">
      <c r="B36" s="92" t="s">
        <v>376</v>
      </c>
      <c r="C36" s="93"/>
      <c r="D36" s="43" t="s">
        <v>377</v>
      </c>
      <c r="E36" s="54" t="s">
        <v>294</v>
      </c>
      <c r="F36" s="55" t="s">
        <v>341</v>
      </c>
      <c r="G36" s="55" t="s">
        <v>378</v>
      </c>
      <c r="H36" s="55" t="s">
        <v>379</v>
      </c>
      <c r="I36" s="55" t="s">
        <v>298</v>
      </c>
      <c r="J36" s="55"/>
      <c r="K36" s="45">
        <f t="shared" si="0"/>
        <v>83796.47</v>
      </c>
      <c r="L36" s="45">
        <v>12569.47</v>
      </c>
      <c r="M36" s="45"/>
      <c r="N36" s="45"/>
      <c r="O36" s="45"/>
      <c r="P36" s="45">
        <v>71227</v>
      </c>
      <c r="Q36" s="99"/>
      <c r="R36" s="46">
        <v>42824</v>
      </c>
      <c r="S36" s="46">
        <v>42823</v>
      </c>
      <c r="T36" s="86" t="str">
        <f t="shared" ref="T36:T39" si="3">IF(R36-S36&lt;0,(R36-S36)/30.41667,"–")</f>
        <v>–</v>
      </c>
    </row>
    <row r="37" spans="2:20" s="6" customFormat="1" ht="24" x14ac:dyDescent="0.25">
      <c r="B37" s="92" t="s">
        <v>382</v>
      </c>
      <c r="C37" s="93"/>
      <c r="D37" s="43" t="s">
        <v>383</v>
      </c>
      <c r="E37" s="54" t="s">
        <v>308</v>
      </c>
      <c r="F37" s="55" t="s">
        <v>341</v>
      </c>
      <c r="G37" s="55" t="s">
        <v>349</v>
      </c>
      <c r="H37" s="55" t="s">
        <v>379</v>
      </c>
      <c r="I37" s="55" t="s">
        <v>298</v>
      </c>
      <c r="J37" s="55" t="s">
        <v>311</v>
      </c>
      <c r="K37" s="45">
        <f t="shared" si="0"/>
        <v>34280.82</v>
      </c>
      <c r="L37" s="45">
        <v>6898.82</v>
      </c>
      <c r="M37" s="45"/>
      <c r="N37" s="45"/>
      <c r="O37" s="45"/>
      <c r="P37" s="45">
        <v>27382</v>
      </c>
      <c r="Q37" s="99"/>
      <c r="R37" s="46">
        <v>42675</v>
      </c>
      <c r="S37" s="46">
        <v>42718</v>
      </c>
      <c r="T37" s="86">
        <f t="shared" si="3"/>
        <v>-1.4136984752111259</v>
      </c>
    </row>
    <row r="38" spans="2:20" s="6" customFormat="1" ht="24" x14ac:dyDescent="0.25">
      <c r="B38" s="92" t="s">
        <v>386</v>
      </c>
      <c r="C38" s="93"/>
      <c r="D38" s="43" t="s">
        <v>387</v>
      </c>
      <c r="E38" s="54" t="s">
        <v>328</v>
      </c>
      <c r="F38" s="55" t="s">
        <v>341</v>
      </c>
      <c r="G38" s="55" t="s">
        <v>356</v>
      </c>
      <c r="H38" s="55" t="s">
        <v>379</v>
      </c>
      <c r="I38" s="55" t="s">
        <v>298</v>
      </c>
      <c r="J38" s="55" t="s">
        <v>311</v>
      </c>
      <c r="K38" s="45">
        <f t="shared" si="0"/>
        <v>100770</v>
      </c>
      <c r="L38" s="45">
        <v>20280</v>
      </c>
      <c r="M38" s="45"/>
      <c r="N38" s="45"/>
      <c r="O38" s="45"/>
      <c r="P38" s="45">
        <v>80490</v>
      </c>
      <c r="Q38" s="99"/>
      <c r="R38" s="46">
        <v>42979</v>
      </c>
      <c r="S38" s="46">
        <v>42937</v>
      </c>
      <c r="T38" s="86" t="str">
        <f t="shared" si="3"/>
        <v>–</v>
      </c>
    </row>
    <row r="39" spans="2:20" s="6" customFormat="1" ht="24" x14ac:dyDescent="0.25">
      <c r="B39" s="92" t="s">
        <v>388</v>
      </c>
      <c r="C39" s="93"/>
      <c r="D39" s="43" t="s">
        <v>389</v>
      </c>
      <c r="E39" s="54" t="s">
        <v>304</v>
      </c>
      <c r="F39" s="55" t="s">
        <v>341</v>
      </c>
      <c r="G39" s="55" t="s">
        <v>390</v>
      </c>
      <c r="H39" s="55" t="s">
        <v>379</v>
      </c>
      <c r="I39" s="55" t="s">
        <v>298</v>
      </c>
      <c r="J39" s="55"/>
      <c r="K39" s="45">
        <f t="shared" si="0"/>
        <v>139304.47</v>
      </c>
      <c r="L39" s="45">
        <v>28035.47</v>
      </c>
      <c r="M39" s="45"/>
      <c r="N39" s="45"/>
      <c r="O39" s="45"/>
      <c r="P39" s="45">
        <v>111269</v>
      </c>
      <c r="Q39" s="99"/>
      <c r="R39" s="46">
        <v>42735</v>
      </c>
      <c r="S39" s="46">
        <v>42718</v>
      </c>
      <c r="T39" s="86" t="str">
        <f t="shared" si="3"/>
        <v>–</v>
      </c>
    </row>
    <row r="40" spans="2:20" s="6" customFormat="1" ht="15" customHeight="1" x14ac:dyDescent="0.25">
      <c r="B40" s="105" t="s">
        <v>391</v>
      </c>
      <c r="C40" s="100"/>
      <c r="D40" s="382" t="s">
        <v>392</v>
      </c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4"/>
    </row>
    <row r="41" spans="2:20" s="6" customFormat="1" ht="24" x14ac:dyDescent="0.25">
      <c r="B41" s="92" t="s">
        <v>393</v>
      </c>
      <c r="C41" s="93"/>
      <c r="D41" s="43" t="s">
        <v>394</v>
      </c>
      <c r="E41" s="54" t="s">
        <v>304</v>
      </c>
      <c r="F41" s="55" t="s">
        <v>341</v>
      </c>
      <c r="G41" s="55" t="s">
        <v>320</v>
      </c>
      <c r="H41" s="55" t="s">
        <v>395</v>
      </c>
      <c r="I41" s="55" t="s">
        <v>298</v>
      </c>
      <c r="J41" s="55" t="s">
        <v>311</v>
      </c>
      <c r="K41" s="45">
        <f t="shared" si="0"/>
        <v>798964</v>
      </c>
      <c r="L41" s="45">
        <v>119845</v>
      </c>
      <c r="M41" s="45"/>
      <c r="N41" s="45"/>
      <c r="O41" s="45"/>
      <c r="P41" s="45">
        <v>679119</v>
      </c>
      <c r="Q41" s="99"/>
      <c r="R41" s="46">
        <v>42916</v>
      </c>
      <c r="S41" s="46">
        <v>42912</v>
      </c>
      <c r="T41" s="86" t="str">
        <f t="shared" ref="T41" si="4">IF(R41-S41&lt;0,(R41-S41)/30.41667,"–")</f>
        <v>–</v>
      </c>
    </row>
    <row r="42" spans="2:20" s="6" customFormat="1" x14ac:dyDescent="0.25">
      <c r="B42" s="101" t="s">
        <v>662</v>
      </c>
      <c r="C42" s="102"/>
      <c r="D42" s="374" t="s">
        <v>398</v>
      </c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6"/>
    </row>
    <row r="43" spans="2:20" s="6" customFormat="1" x14ac:dyDescent="0.25">
      <c r="B43" s="105" t="s">
        <v>399</v>
      </c>
      <c r="C43" s="100"/>
      <c r="D43" s="365" t="s">
        <v>400</v>
      </c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7"/>
    </row>
    <row r="44" spans="2:20" s="6" customFormat="1" ht="24" x14ac:dyDescent="0.25">
      <c r="B44" s="92" t="s">
        <v>401</v>
      </c>
      <c r="C44" s="93"/>
      <c r="D44" s="77" t="s">
        <v>402</v>
      </c>
      <c r="E44" s="55" t="s">
        <v>304</v>
      </c>
      <c r="F44" s="55" t="s">
        <v>403</v>
      </c>
      <c r="G44" s="55" t="s">
        <v>320</v>
      </c>
      <c r="H44" s="54" t="s">
        <v>404</v>
      </c>
      <c r="I44" s="55" t="s">
        <v>298</v>
      </c>
      <c r="J44" s="55" t="s">
        <v>311</v>
      </c>
      <c r="K44" s="45">
        <f t="shared" ref="K44:K50" si="5">SUM(L44:Q44)</f>
        <v>588358</v>
      </c>
      <c r="L44" s="45">
        <v>88253.84</v>
      </c>
      <c r="M44" s="45"/>
      <c r="N44" s="45"/>
      <c r="O44" s="45"/>
      <c r="P44" s="45">
        <v>500104.16</v>
      </c>
      <c r="Q44" s="99"/>
      <c r="R44" s="46">
        <v>42644</v>
      </c>
      <c r="S44" s="46">
        <v>42688</v>
      </c>
      <c r="T44" s="86">
        <f t="shared" ref="T44:T45" si="6">IF(R44-S44&lt;0,(R44-S44)/30.41667,"–")</f>
        <v>-1.446575183936966</v>
      </c>
    </row>
    <row r="45" spans="2:20" s="6" customFormat="1" ht="24" x14ac:dyDescent="0.25">
      <c r="B45" s="92" t="s">
        <v>407</v>
      </c>
      <c r="C45" s="93"/>
      <c r="D45" s="48" t="s">
        <v>408</v>
      </c>
      <c r="E45" s="53" t="s">
        <v>328</v>
      </c>
      <c r="F45" s="53" t="s">
        <v>403</v>
      </c>
      <c r="G45" s="53" t="s">
        <v>356</v>
      </c>
      <c r="H45" s="53" t="s">
        <v>404</v>
      </c>
      <c r="I45" s="53" t="s">
        <v>298</v>
      </c>
      <c r="J45" s="53" t="s">
        <v>311</v>
      </c>
      <c r="K45" s="45">
        <f t="shared" si="5"/>
        <v>515526.52</v>
      </c>
      <c r="L45" s="49">
        <v>97732.29</v>
      </c>
      <c r="M45" s="49"/>
      <c r="N45" s="49"/>
      <c r="O45" s="49">
        <v>226000</v>
      </c>
      <c r="P45" s="49">
        <v>191794.23</v>
      </c>
      <c r="Q45" s="99"/>
      <c r="R45" s="50">
        <v>42704</v>
      </c>
      <c r="S45" s="46">
        <v>42688</v>
      </c>
      <c r="T45" s="86" t="str">
        <f t="shared" si="6"/>
        <v>–</v>
      </c>
    </row>
    <row r="46" spans="2:20" s="6" customFormat="1" x14ac:dyDescent="0.25">
      <c r="B46" s="105" t="s">
        <v>409</v>
      </c>
      <c r="C46" s="100"/>
      <c r="D46" s="365" t="s">
        <v>410</v>
      </c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7"/>
    </row>
    <row r="47" spans="2:20" s="6" customFormat="1" ht="60" x14ac:dyDescent="0.25">
      <c r="B47" s="92" t="s">
        <v>411</v>
      </c>
      <c r="C47" s="93"/>
      <c r="D47" s="44" t="s">
        <v>412</v>
      </c>
      <c r="E47" s="54" t="s">
        <v>304</v>
      </c>
      <c r="F47" s="54" t="s">
        <v>403</v>
      </c>
      <c r="G47" s="54" t="s">
        <v>320</v>
      </c>
      <c r="H47" s="55" t="s">
        <v>413</v>
      </c>
      <c r="I47" s="54" t="s">
        <v>298</v>
      </c>
      <c r="J47" s="54" t="s">
        <v>311</v>
      </c>
      <c r="K47" s="45">
        <f t="shared" si="5"/>
        <v>464475</v>
      </c>
      <c r="L47" s="60">
        <v>69671</v>
      </c>
      <c r="M47" s="60"/>
      <c r="N47" s="60"/>
      <c r="O47" s="60"/>
      <c r="P47" s="60">
        <v>394804</v>
      </c>
      <c r="Q47" s="99"/>
      <c r="R47" s="61">
        <v>42644</v>
      </c>
      <c r="S47" s="46">
        <v>42718</v>
      </c>
      <c r="T47" s="86">
        <f t="shared" ref="T47:T50" si="7">IF(R47-S47&lt;0,(R47-S47)/30.41667,"–")</f>
        <v>-2.4328764457121705</v>
      </c>
    </row>
    <row r="48" spans="2:20" s="6" customFormat="1" ht="36" x14ac:dyDescent="0.25">
      <c r="B48" s="92" t="s">
        <v>418</v>
      </c>
      <c r="C48" s="93"/>
      <c r="D48" s="51" t="s">
        <v>419</v>
      </c>
      <c r="E48" s="55" t="s">
        <v>294</v>
      </c>
      <c r="F48" s="55" t="s">
        <v>403</v>
      </c>
      <c r="G48" s="55" t="s">
        <v>420</v>
      </c>
      <c r="H48" s="55" t="s">
        <v>413</v>
      </c>
      <c r="I48" s="55" t="s">
        <v>298</v>
      </c>
      <c r="J48" s="55"/>
      <c r="K48" s="45">
        <f t="shared" si="5"/>
        <v>297327.13</v>
      </c>
      <c r="L48" s="45">
        <v>44599.07</v>
      </c>
      <c r="M48" s="45"/>
      <c r="N48" s="45"/>
      <c r="O48" s="45"/>
      <c r="P48" s="45">
        <v>252728.06</v>
      </c>
      <c r="Q48" s="99"/>
      <c r="R48" s="46">
        <v>42735</v>
      </c>
      <c r="S48" s="46">
        <v>42718</v>
      </c>
      <c r="T48" s="86" t="str">
        <f t="shared" si="7"/>
        <v>–</v>
      </c>
    </row>
    <row r="49" spans="2:20" s="6" customFormat="1" ht="36" x14ac:dyDescent="0.25">
      <c r="B49" s="92" t="s">
        <v>421</v>
      </c>
      <c r="C49" s="93"/>
      <c r="D49" s="51" t="s">
        <v>422</v>
      </c>
      <c r="E49" s="55" t="s">
        <v>308</v>
      </c>
      <c r="F49" s="55" t="s">
        <v>403</v>
      </c>
      <c r="G49" s="55" t="s">
        <v>309</v>
      </c>
      <c r="H49" s="55" t="s">
        <v>413</v>
      </c>
      <c r="I49" s="55" t="s">
        <v>298</v>
      </c>
      <c r="J49" s="55" t="s">
        <v>311</v>
      </c>
      <c r="K49" s="45">
        <f t="shared" si="5"/>
        <v>114301</v>
      </c>
      <c r="L49" s="45">
        <v>17146</v>
      </c>
      <c r="M49" s="45"/>
      <c r="N49" s="45"/>
      <c r="O49" s="45"/>
      <c r="P49" s="45">
        <v>97155</v>
      </c>
      <c r="Q49" s="99"/>
      <c r="R49" s="46">
        <v>42644</v>
      </c>
      <c r="S49" s="46">
        <v>42718</v>
      </c>
      <c r="T49" s="86">
        <f t="shared" si="7"/>
        <v>-2.4328764457121705</v>
      </c>
    </row>
    <row r="50" spans="2:20" s="6" customFormat="1" ht="24" x14ac:dyDescent="0.25">
      <c r="B50" s="92" t="s">
        <v>424</v>
      </c>
      <c r="C50" s="93"/>
      <c r="D50" s="51" t="s">
        <v>425</v>
      </c>
      <c r="E50" s="55" t="s">
        <v>328</v>
      </c>
      <c r="F50" s="55" t="s">
        <v>403</v>
      </c>
      <c r="G50" s="55" t="s">
        <v>426</v>
      </c>
      <c r="H50" s="55" t="s">
        <v>413</v>
      </c>
      <c r="I50" s="55" t="s">
        <v>298</v>
      </c>
      <c r="J50" s="55"/>
      <c r="K50" s="45">
        <f t="shared" si="5"/>
        <v>335993</v>
      </c>
      <c r="L50" s="45">
        <v>50398.95</v>
      </c>
      <c r="M50" s="45"/>
      <c r="N50" s="45"/>
      <c r="O50" s="45"/>
      <c r="P50" s="49">
        <v>285594.05</v>
      </c>
      <c r="Q50" s="99"/>
      <c r="R50" s="46">
        <v>42675</v>
      </c>
      <c r="S50" s="46">
        <v>42718</v>
      </c>
      <c r="T50" s="86">
        <f t="shared" si="7"/>
        <v>-1.4136984752111259</v>
      </c>
    </row>
    <row r="51" spans="2:20" s="6" customFormat="1" x14ac:dyDescent="0.25">
      <c r="B51" s="101" t="s">
        <v>663</v>
      </c>
      <c r="C51" s="102"/>
      <c r="D51" s="374" t="s">
        <v>427</v>
      </c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6"/>
    </row>
    <row r="52" spans="2:20" s="6" customFormat="1" x14ac:dyDescent="0.25">
      <c r="B52" s="105" t="s">
        <v>428</v>
      </c>
      <c r="C52" s="100"/>
      <c r="D52" s="365" t="s">
        <v>429</v>
      </c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7"/>
    </row>
    <row r="53" spans="2:20" s="6" customFormat="1" ht="24" x14ac:dyDescent="0.25">
      <c r="B53" s="92" t="s">
        <v>430</v>
      </c>
      <c r="C53" s="93"/>
      <c r="D53" s="76" t="s">
        <v>431</v>
      </c>
      <c r="E53" s="54" t="s">
        <v>328</v>
      </c>
      <c r="F53" s="54" t="s">
        <v>432</v>
      </c>
      <c r="G53" s="54" t="s">
        <v>433</v>
      </c>
      <c r="H53" s="54" t="s">
        <v>434</v>
      </c>
      <c r="I53" s="54" t="s">
        <v>298</v>
      </c>
      <c r="J53" s="54"/>
      <c r="K53" s="45">
        <f t="shared" ref="K53" si="8">SUM(L53:Q53)</f>
        <v>466925.52</v>
      </c>
      <c r="L53" s="60">
        <v>70038.83</v>
      </c>
      <c r="M53" s="45"/>
      <c r="N53" s="45"/>
      <c r="O53" s="45"/>
      <c r="P53" s="60">
        <v>396886.69</v>
      </c>
      <c r="Q53" s="99"/>
      <c r="R53" s="50">
        <v>42675</v>
      </c>
      <c r="S53" s="46">
        <v>42643</v>
      </c>
      <c r="T53" s="86" t="str">
        <f t="shared" ref="T53" si="9">IF(R53-S53&lt;0,(R53-S53)/30.41667,"–")</f>
        <v>–</v>
      </c>
    </row>
    <row r="54" spans="2:20" s="6" customFormat="1" ht="15" customHeight="1" x14ac:dyDescent="0.25">
      <c r="B54" s="101" t="s">
        <v>664</v>
      </c>
      <c r="C54" s="102"/>
      <c r="D54" s="359" t="s">
        <v>659</v>
      </c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1"/>
    </row>
    <row r="55" spans="2:20" s="6" customFormat="1" ht="15" customHeight="1" x14ac:dyDescent="0.25">
      <c r="B55" s="101" t="s">
        <v>665</v>
      </c>
      <c r="C55" s="102"/>
      <c r="D55" s="359" t="s">
        <v>437</v>
      </c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1"/>
    </row>
    <row r="56" spans="2:20" s="6" customFormat="1" ht="15" customHeight="1" x14ac:dyDescent="0.25">
      <c r="B56" s="101" t="s">
        <v>666</v>
      </c>
      <c r="C56" s="102"/>
      <c r="D56" s="359" t="s">
        <v>438</v>
      </c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1"/>
    </row>
    <row r="57" spans="2:20" s="6" customFormat="1" ht="15" customHeight="1" x14ac:dyDescent="0.25">
      <c r="B57" s="105" t="s">
        <v>439</v>
      </c>
      <c r="C57" s="100"/>
      <c r="D57" s="362" t="s">
        <v>440</v>
      </c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4"/>
    </row>
    <row r="58" spans="2:20" s="6" customFormat="1" ht="24" x14ac:dyDescent="0.25">
      <c r="B58" s="92" t="s">
        <v>441</v>
      </c>
      <c r="C58" s="93"/>
      <c r="D58" s="75" t="s">
        <v>442</v>
      </c>
      <c r="E58" s="55" t="s">
        <v>294</v>
      </c>
      <c r="F58" s="55" t="s">
        <v>443</v>
      </c>
      <c r="G58" s="55" t="s">
        <v>444</v>
      </c>
      <c r="H58" s="54" t="s">
        <v>445</v>
      </c>
      <c r="I58" s="55" t="s">
        <v>298</v>
      </c>
      <c r="J58" s="55"/>
      <c r="K58" s="45">
        <f t="shared" ref="K58:K70" si="10">SUM(L58:Q58)</f>
        <v>348722.37</v>
      </c>
      <c r="L58" s="49">
        <v>26154.19</v>
      </c>
      <c r="M58" s="49">
        <v>26154.18</v>
      </c>
      <c r="N58" s="62"/>
      <c r="O58" s="45"/>
      <c r="P58" s="45">
        <v>296414</v>
      </c>
      <c r="Q58" s="99"/>
      <c r="R58" s="46">
        <v>42916</v>
      </c>
      <c r="S58" s="46">
        <v>42912</v>
      </c>
      <c r="T58" s="86" t="str">
        <f t="shared" ref="T58:T61" si="11">IF(R58-S58&lt;0,(R58-S58)/30.41667,"–")</f>
        <v>–</v>
      </c>
    </row>
    <row r="59" spans="2:20" s="6" customFormat="1" ht="24" x14ac:dyDescent="0.25">
      <c r="B59" s="92" t="s">
        <v>450</v>
      </c>
      <c r="C59" s="93"/>
      <c r="D59" s="75" t="s">
        <v>451</v>
      </c>
      <c r="E59" s="55" t="s">
        <v>308</v>
      </c>
      <c r="F59" s="55" t="s">
        <v>443</v>
      </c>
      <c r="G59" s="55" t="s">
        <v>349</v>
      </c>
      <c r="H59" s="54" t="s">
        <v>445</v>
      </c>
      <c r="I59" s="55" t="s">
        <v>298</v>
      </c>
      <c r="J59" s="55"/>
      <c r="K59" s="45">
        <f t="shared" si="10"/>
        <v>134057.64705882352</v>
      </c>
      <c r="L59" s="49">
        <f>P59*15/85/2</f>
        <v>10054.323529411764</v>
      </c>
      <c r="M59" s="49">
        <f>L59</f>
        <v>10054.323529411764</v>
      </c>
      <c r="N59" s="62"/>
      <c r="O59" s="45"/>
      <c r="P59" s="45">
        <v>113949</v>
      </c>
      <c r="Q59" s="99"/>
      <c r="R59" s="46">
        <v>42916</v>
      </c>
      <c r="S59" s="46">
        <v>42937</v>
      </c>
      <c r="T59" s="86">
        <f t="shared" si="11"/>
        <v>-0.69041088324264288</v>
      </c>
    </row>
    <row r="60" spans="2:20" s="6" customFormat="1" ht="24" x14ac:dyDescent="0.25">
      <c r="B60" s="92" t="s">
        <v>452</v>
      </c>
      <c r="C60" s="93"/>
      <c r="D60" s="75" t="s">
        <v>453</v>
      </c>
      <c r="E60" s="55" t="s">
        <v>328</v>
      </c>
      <c r="F60" s="55" t="s">
        <v>443</v>
      </c>
      <c r="G60" s="55" t="s">
        <v>356</v>
      </c>
      <c r="H60" s="54" t="s">
        <v>445</v>
      </c>
      <c r="I60" s="55" t="s">
        <v>298</v>
      </c>
      <c r="J60" s="55"/>
      <c r="K60" s="45">
        <f t="shared" si="10"/>
        <v>394072</v>
      </c>
      <c r="L60" s="49">
        <v>29556</v>
      </c>
      <c r="M60" s="49">
        <v>29555</v>
      </c>
      <c r="N60" s="45"/>
      <c r="O60" s="45"/>
      <c r="P60" s="45">
        <v>334961</v>
      </c>
      <c r="Q60" s="99"/>
      <c r="R60" s="46">
        <v>42946</v>
      </c>
      <c r="S60" s="46">
        <v>42969</v>
      </c>
      <c r="T60" s="86">
        <f t="shared" si="11"/>
        <v>-0.75616430069432317</v>
      </c>
    </row>
    <row r="61" spans="2:20" s="6" customFormat="1" ht="24" x14ac:dyDescent="0.25">
      <c r="B61" s="92" t="s">
        <v>456</v>
      </c>
      <c r="C61" s="93"/>
      <c r="D61" s="75" t="s">
        <v>457</v>
      </c>
      <c r="E61" s="55" t="s">
        <v>304</v>
      </c>
      <c r="F61" s="55" t="s">
        <v>443</v>
      </c>
      <c r="G61" s="55" t="s">
        <v>320</v>
      </c>
      <c r="H61" s="54" t="s">
        <v>445</v>
      </c>
      <c r="I61" s="55" t="s">
        <v>298</v>
      </c>
      <c r="J61" s="55"/>
      <c r="K61" s="45">
        <f t="shared" si="10"/>
        <v>544762.36</v>
      </c>
      <c r="L61" s="49">
        <v>40857.18</v>
      </c>
      <c r="M61" s="49">
        <v>40857.18</v>
      </c>
      <c r="N61" s="63"/>
      <c r="O61" s="45"/>
      <c r="P61" s="45">
        <v>463048</v>
      </c>
      <c r="Q61" s="99"/>
      <c r="R61" s="46">
        <v>42947</v>
      </c>
      <c r="S61" s="46">
        <v>42937</v>
      </c>
      <c r="T61" s="86" t="str">
        <f t="shared" si="11"/>
        <v>–</v>
      </c>
    </row>
    <row r="62" spans="2:20" s="6" customFormat="1" ht="15" customHeight="1" x14ac:dyDescent="0.25">
      <c r="B62" s="105" t="s">
        <v>458</v>
      </c>
      <c r="C62" s="100"/>
      <c r="D62" s="362" t="s">
        <v>459</v>
      </c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4"/>
    </row>
    <row r="63" spans="2:20" s="6" customFormat="1" ht="24" x14ac:dyDescent="0.25">
      <c r="B63" s="92" t="s">
        <v>460</v>
      </c>
      <c r="C63" s="93"/>
      <c r="D63" s="51" t="s">
        <v>461</v>
      </c>
      <c r="E63" s="55" t="s">
        <v>308</v>
      </c>
      <c r="F63" s="55" t="s">
        <v>443</v>
      </c>
      <c r="G63" s="55" t="s">
        <v>349</v>
      </c>
      <c r="H63" s="55" t="s">
        <v>462</v>
      </c>
      <c r="I63" s="55" t="s">
        <v>298</v>
      </c>
      <c r="J63" s="55"/>
      <c r="K63" s="45">
        <f t="shared" si="10"/>
        <v>148515.76</v>
      </c>
      <c r="L63" s="45">
        <v>24397.759999999998</v>
      </c>
      <c r="M63" s="45"/>
      <c r="N63" s="45"/>
      <c r="O63" s="45"/>
      <c r="P63" s="45">
        <v>124118</v>
      </c>
      <c r="Q63" s="99"/>
      <c r="R63" s="46">
        <v>42887</v>
      </c>
      <c r="S63" s="46">
        <v>42866</v>
      </c>
      <c r="T63" s="86" t="str">
        <f t="shared" ref="T63" si="12">IF(R63-S63&lt;0,(R63-S63)/30.41667,"–")</f>
        <v>–</v>
      </c>
    </row>
    <row r="64" spans="2:20" s="6" customFormat="1" ht="24" x14ac:dyDescent="0.25">
      <c r="B64" s="92" t="s">
        <v>465</v>
      </c>
      <c r="C64" s="93"/>
      <c r="D64" s="51" t="s">
        <v>466</v>
      </c>
      <c r="E64" s="55" t="s">
        <v>328</v>
      </c>
      <c r="F64" s="55" t="s">
        <v>443</v>
      </c>
      <c r="G64" s="55" t="s">
        <v>356</v>
      </c>
      <c r="H64" s="55" t="s">
        <v>462</v>
      </c>
      <c r="I64" s="55" t="s">
        <v>298</v>
      </c>
      <c r="J64" s="55"/>
      <c r="K64" s="45">
        <f t="shared" si="10"/>
        <v>181044</v>
      </c>
      <c r="L64" s="45">
        <v>27157</v>
      </c>
      <c r="M64" s="45"/>
      <c r="N64" s="45"/>
      <c r="O64" s="45"/>
      <c r="P64" s="45">
        <v>153887</v>
      </c>
      <c r="Q64" s="99"/>
      <c r="R64" s="46">
        <v>42887</v>
      </c>
      <c r="S64" s="46">
        <v>42866</v>
      </c>
      <c r="T64" s="86" t="str">
        <f t="shared" ref="T64:T66" si="13">IF(R64-S64&lt;0,(R64-S64)/30.41667,"–")</f>
        <v>–</v>
      </c>
    </row>
    <row r="65" spans="2:20" s="6" customFormat="1" ht="24" x14ac:dyDescent="0.25">
      <c r="B65" s="92" t="s">
        <v>467</v>
      </c>
      <c r="C65" s="93"/>
      <c r="D65" s="51" t="s">
        <v>468</v>
      </c>
      <c r="E65" s="55" t="s">
        <v>304</v>
      </c>
      <c r="F65" s="55" t="s">
        <v>443</v>
      </c>
      <c r="G65" s="55" t="s">
        <v>320</v>
      </c>
      <c r="H65" s="55" t="s">
        <v>462</v>
      </c>
      <c r="I65" s="55" t="s">
        <v>298</v>
      </c>
      <c r="J65" s="55"/>
      <c r="K65" s="45">
        <f t="shared" si="10"/>
        <v>250274.11</v>
      </c>
      <c r="L65" s="45">
        <v>37541.11</v>
      </c>
      <c r="M65" s="45"/>
      <c r="N65" s="45"/>
      <c r="O65" s="45"/>
      <c r="P65" s="45">
        <v>212733</v>
      </c>
      <c r="Q65" s="99"/>
      <c r="R65" s="46">
        <v>42887</v>
      </c>
      <c r="S65" s="46">
        <v>42866</v>
      </c>
      <c r="T65" s="86" t="str">
        <f t="shared" si="13"/>
        <v>–</v>
      </c>
    </row>
    <row r="66" spans="2:20" s="6" customFormat="1" ht="36" x14ac:dyDescent="0.25">
      <c r="B66" s="92" t="s">
        <v>469</v>
      </c>
      <c r="C66" s="93"/>
      <c r="D66" s="51" t="s">
        <v>470</v>
      </c>
      <c r="E66" s="55" t="s">
        <v>471</v>
      </c>
      <c r="F66" s="55" t="s">
        <v>443</v>
      </c>
      <c r="G66" s="55" t="s">
        <v>444</v>
      </c>
      <c r="H66" s="55" t="s">
        <v>462</v>
      </c>
      <c r="I66" s="55" t="s">
        <v>298</v>
      </c>
      <c r="J66" s="55"/>
      <c r="K66" s="45">
        <f t="shared" si="10"/>
        <v>92842.82</v>
      </c>
      <c r="L66" s="45">
        <v>28431.82</v>
      </c>
      <c r="M66" s="45"/>
      <c r="N66" s="45"/>
      <c r="O66" s="45"/>
      <c r="P66" s="45">
        <v>64411</v>
      </c>
      <c r="Q66" s="99"/>
      <c r="R66" s="46">
        <v>42887</v>
      </c>
      <c r="S66" s="46">
        <v>42866</v>
      </c>
      <c r="T66" s="86" t="str">
        <f t="shared" si="13"/>
        <v>–</v>
      </c>
    </row>
    <row r="67" spans="2:20" s="6" customFormat="1" ht="15" customHeight="1" x14ac:dyDescent="0.25">
      <c r="B67" s="105" t="s">
        <v>472</v>
      </c>
      <c r="C67" s="100"/>
      <c r="D67" s="362" t="s">
        <v>473</v>
      </c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4"/>
    </row>
    <row r="68" spans="2:20" s="6" customFormat="1" ht="24" x14ac:dyDescent="0.25">
      <c r="B68" s="92" t="s">
        <v>474</v>
      </c>
      <c r="C68" s="93"/>
      <c r="D68" s="74" t="s">
        <v>475</v>
      </c>
      <c r="E68" s="54" t="s">
        <v>294</v>
      </c>
      <c r="F68" s="55" t="s">
        <v>443</v>
      </c>
      <c r="G68" s="55" t="s">
        <v>444</v>
      </c>
      <c r="H68" s="55" t="s">
        <v>476</v>
      </c>
      <c r="I68" s="55" t="s">
        <v>298</v>
      </c>
      <c r="J68" s="55"/>
      <c r="K68" s="45">
        <f t="shared" si="10"/>
        <v>809630.41999999993</v>
      </c>
      <c r="L68" s="45">
        <v>553430.44999999995</v>
      </c>
      <c r="M68" s="45">
        <v>20772.97</v>
      </c>
      <c r="N68" s="45"/>
      <c r="O68" s="45"/>
      <c r="P68" s="45">
        <v>235427</v>
      </c>
      <c r="Q68" s="99"/>
      <c r="R68" s="46">
        <v>43038</v>
      </c>
      <c r="S68" s="46">
        <v>43024</v>
      </c>
      <c r="T68" s="86" t="str">
        <f t="shared" ref="T68" si="14">IF(R68-S68&lt;0,(R68-S68)/30.41667,"–")</f>
        <v>–</v>
      </c>
    </row>
    <row r="69" spans="2:20" s="6" customFormat="1" ht="24" x14ac:dyDescent="0.25">
      <c r="B69" s="92" t="s">
        <v>480</v>
      </c>
      <c r="C69" s="93"/>
      <c r="D69" s="74" t="s">
        <v>481</v>
      </c>
      <c r="E69" s="54" t="s">
        <v>328</v>
      </c>
      <c r="F69" s="55" t="s">
        <v>443</v>
      </c>
      <c r="G69" s="55" t="s">
        <v>426</v>
      </c>
      <c r="H69" s="55" t="s">
        <v>476</v>
      </c>
      <c r="I69" s="55" t="s">
        <v>298</v>
      </c>
      <c r="J69" s="55"/>
      <c r="K69" s="45">
        <f t="shared" si="10"/>
        <v>226080</v>
      </c>
      <c r="L69" s="45">
        <v>16956</v>
      </c>
      <c r="M69" s="45">
        <v>16956</v>
      </c>
      <c r="N69" s="45"/>
      <c r="O69" s="45"/>
      <c r="P69" s="45">
        <v>192168</v>
      </c>
      <c r="Q69" s="99"/>
      <c r="R69" s="46">
        <v>43038</v>
      </c>
      <c r="S69" s="46">
        <v>43024</v>
      </c>
      <c r="T69" s="86" t="str">
        <f t="shared" ref="T69" si="15">IF(R69-S69&lt;0,(R69-S69)/30.41667,"–")</f>
        <v>–</v>
      </c>
    </row>
    <row r="70" spans="2:20" s="6" customFormat="1" ht="48" x14ac:dyDescent="0.25">
      <c r="B70" s="92" t="s">
        <v>484</v>
      </c>
      <c r="C70" s="93"/>
      <c r="D70" s="74" t="s">
        <v>485</v>
      </c>
      <c r="E70" s="54" t="s">
        <v>304</v>
      </c>
      <c r="F70" s="55" t="s">
        <v>443</v>
      </c>
      <c r="G70" s="55" t="s">
        <v>320</v>
      </c>
      <c r="H70" s="55" t="s">
        <v>476</v>
      </c>
      <c r="I70" s="55" t="s">
        <v>298</v>
      </c>
      <c r="J70" s="55"/>
      <c r="K70" s="45">
        <f t="shared" si="10"/>
        <v>312531.76470588235</v>
      </c>
      <c r="L70" s="45">
        <f>P70*15/85/2</f>
        <v>23439.882352941175</v>
      </c>
      <c r="M70" s="45">
        <f>L70</f>
        <v>23439.882352941175</v>
      </c>
      <c r="N70" s="45"/>
      <c r="O70" s="45"/>
      <c r="P70" s="45">
        <v>265652</v>
      </c>
      <c r="Q70" s="99"/>
      <c r="R70" s="46">
        <v>43038</v>
      </c>
      <c r="S70" s="46">
        <v>43024</v>
      </c>
      <c r="T70" s="86" t="str">
        <f t="shared" ref="T70" si="16">IF(R70-S70&lt;0,(R70-S70)/30.41667,"–")</f>
        <v>–</v>
      </c>
    </row>
    <row r="71" spans="2:20" s="6" customFormat="1" x14ac:dyDescent="0.25">
      <c r="B71" s="101" t="s">
        <v>667</v>
      </c>
      <c r="C71" s="102"/>
      <c r="D71" s="374" t="s">
        <v>486</v>
      </c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6"/>
    </row>
    <row r="72" spans="2:20" s="6" customFormat="1" x14ac:dyDescent="0.25">
      <c r="B72" s="105" t="s">
        <v>487</v>
      </c>
      <c r="C72" s="100"/>
      <c r="D72" s="365" t="s">
        <v>488</v>
      </c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7"/>
    </row>
    <row r="73" spans="2:20" s="6" customFormat="1" ht="24" x14ac:dyDescent="0.25">
      <c r="B73" s="92" t="s">
        <v>489</v>
      </c>
      <c r="C73" s="93"/>
      <c r="D73" s="43" t="s">
        <v>490</v>
      </c>
      <c r="E73" s="54" t="s">
        <v>308</v>
      </c>
      <c r="F73" s="55" t="s">
        <v>491</v>
      </c>
      <c r="G73" s="55" t="s">
        <v>492</v>
      </c>
      <c r="H73" s="202" t="s">
        <v>493</v>
      </c>
      <c r="I73" s="55" t="s">
        <v>298</v>
      </c>
      <c r="J73" s="55"/>
      <c r="K73" s="45">
        <f t="shared" ref="K73:K99" si="17">SUM(L73:Q73)</f>
        <v>46877.647058823532</v>
      </c>
      <c r="L73" s="45">
        <f>M73</f>
        <v>3515.8235294117649</v>
      </c>
      <c r="M73" s="45">
        <f>7.5*P73/85</f>
        <v>3515.8235294117649</v>
      </c>
      <c r="N73" s="45"/>
      <c r="O73" s="45"/>
      <c r="P73" s="45">
        <v>39846</v>
      </c>
      <c r="Q73" s="94"/>
      <c r="R73" s="46">
        <v>43159</v>
      </c>
      <c r="S73" s="46">
        <v>43159</v>
      </c>
      <c r="T73" s="86" t="str">
        <f t="shared" ref="T73" si="18">IF(R73-S73&lt;0,(R73-S73)/30.41667,"–")</f>
        <v>–</v>
      </c>
    </row>
    <row r="74" spans="2:20" s="6" customFormat="1" ht="24" x14ac:dyDescent="0.25">
      <c r="B74" s="92" t="s">
        <v>496</v>
      </c>
      <c r="C74" s="93"/>
      <c r="D74" s="43" t="s">
        <v>497</v>
      </c>
      <c r="E74" s="54" t="s">
        <v>498</v>
      </c>
      <c r="F74" s="55" t="s">
        <v>491</v>
      </c>
      <c r="G74" s="55" t="s">
        <v>426</v>
      </c>
      <c r="H74" s="202" t="s">
        <v>493</v>
      </c>
      <c r="I74" s="55" t="s">
        <v>298</v>
      </c>
      <c r="J74" s="55"/>
      <c r="K74" s="45">
        <f t="shared" si="17"/>
        <v>137798.82352941178</v>
      </c>
      <c r="L74" s="45">
        <f t="shared" ref="L74:L76" si="19">M74</f>
        <v>10334.911764705883</v>
      </c>
      <c r="M74" s="45">
        <f t="shared" ref="M74:M76" si="20">7.5*P74/85</f>
        <v>10334.911764705883</v>
      </c>
      <c r="N74" s="45"/>
      <c r="O74" s="45"/>
      <c r="P74" s="45">
        <v>117129</v>
      </c>
      <c r="Q74" s="94"/>
      <c r="R74" s="46">
        <v>43159</v>
      </c>
      <c r="S74" s="46">
        <v>43159</v>
      </c>
      <c r="T74" s="86" t="str">
        <f t="shared" ref="T74:T76" si="21">IF(R74-S74&lt;0,(R74-S74)/30.41667,"–")</f>
        <v>–</v>
      </c>
    </row>
    <row r="75" spans="2:20" s="6" customFormat="1" ht="24" x14ac:dyDescent="0.25">
      <c r="B75" s="92" t="s">
        <v>501</v>
      </c>
      <c r="C75" s="93"/>
      <c r="D75" s="43" t="s">
        <v>502</v>
      </c>
      <c r="E75" s="54" t="s">
        <v>503</v>
      </c>
      <c r="F75" s="55" t="s">
        <v>491</v>
      </c>
      <c r="G75" s="55" t="s">
        <v>504</v>
      </c>
      <c r="H75" s="202" t="s">
        <v>493</v>
      </c>
      <c r="I75" s="55" t="s">
        <v>298</v>
      </c>
      <c r="J75" s="55"/>
      <c r="K75" s="45">
        <f t="shared" si="17"/>
        <v>190492.9411764706</v>
      </c>
      <c r="L75" s="45">
        <f t="shared" si="19"/>
        <v>14286.970588235294</v>
      </c>
      <c r="M75" s="45">
        <f t="shared" si="20"/>
        <v>14286.970588235294</v>
      </c>
      <c r="N75" s="45"/>
      <c r="O75" s="45"/>
      <c r="P75" s="45">
        <v>161919</v>
      </c>
      <c r="Q75" s="94"/>
      <c r="R75" s="46">
        <v>43159</v>
      </c>
      <c r="S75" s="46">
        <v>43159</v>
      </c>
      <c r="T75" s="86" t="str">
        <f t="shared" si="21"/>
        <v>–</v>
      </c>
    </row>
    <row r="76" spans="2:20" s="6" customFormat="1" ht="33" customHeight="1" x14ac:dyDescent="0.25">
      <c r="B76" s="92" t="s">
        <v>506</v>
      </c>
      <c r="C76" s="93"/>
      <c r="D76" s="43" t="s">
        <v>507</v>
      </c>
      <c r="E76" s="54" t="s">
        <v>508</v>
      </c>
      <c r="F76" s="55" t="s">
        <v>491</v>
      </c>
      <c r="G76" s="55" t="s">
        <v>509</v>
      </c>
      <c r="H76" s="202" t="s">
        <v>493</v>
      </c>
      <c r="I76" s="55" t="s">
        <v>298</v>
      </c>
      <c r="J76" s="55"/>
      <c r="K76" s="45">
        <f t="shared" si="17"/>
        <v>121941.17647058824</v>
      </c>
      <c r="L76" s="45">
        <f t="shared" si="19"/>
        <v>9145.5882352941171</v>
      </c>
      <c r="M76" s="45">
        <f t="shared" si="20"/>
        <v>9145.5882352941171</v>
      </c>
      <c r="N76" s="45"/>
      <c r="O76" s="45"/>
      <c r="P76" s="45">
        <v>103650</v>
      </c>
      <c r="Q76" s="94"/>
      <c r="R76" s="46">
        <v>43159</v>
      </c>
      <c r="S76" s="46">
        <v>43159</v>
      </c>
      <c r="T76" s="86" t="str">
        <f t="shared" si="21"/>
        <v>–</v>
      </c>
    </row>
    <row r="77" spans="2:20" s="6" customFormat="1" x14ac:dyDescent="0.25">
      <c r="B77" s="105" t="s">
        <v>511</v>
      </c>
      <c r="C77" s="100"/>
      <c r="D77" s="365" t="s">
        <v>512</v>
      </c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7"/>
    </row>
    <row r="78" spans="2:20" s="220" customFormat="1" ht="47.25" customHeight="1" x14ac:dyDescent="0.2">
      <c r="B78" s="225" t="s">
        <v>707</v>
      </c>
      <c r="C78" s="225"/>
      <c r="D78" s="227" t="s">
        <v>708</v>
      </c>
      <c r="E78" s="225" t="s">
        <v>709</v>
      </c>
      <c r="F78" s="225" t="s">
        <v>491</v>
      </c>
      <c r="G78" s="226" t="s">
        <v>426</v>
      </c>
      <c r="H78" s="225" t="s">
        <v>710</v>
      </c>
      <c r="I78" s="225" t="s">
        <v>298</v>
      </c>
      <c r="J78" s="222"/>
      <c r="K78" s="45">
        <f t="shared" si="17"/>
        <v>12312.235294117647</v>
      </c>
      <c r="L78" s="228">
        <v>923.4176470588236</v>
      </c>
      <c r="M78" s="228">
        <v>923.4176470588236</v>
      </c>
      <c r="N78" s="228"/>
      <c r="O78" s="228"/>
      <c r="P78" s="228">
        <v>10465.4</v>
      </c>
      <c r="Q78" s="222"/>
      <c r="R78" s="46">
        <v>43190</v>
      </c>
      <c r="S78" s="46">
        <v>43188</v>
      </c>
      <c r="T78" s="86" t="str">
        <f t="shared" ref="T78" si="22">IF(R78-S78&lt;0,(R78-S78)/30.41667,"–")</f>
        <v>–</v>
      </c>
    </row>
    <row r="79" spans="2:20" s="220" customFormat="1" ht="36" x14ac:dyDescent="0.2">
      <c r="B79" s="225" t="s">
        <v>711</v>
      </c>
      <c r="C79" s="225"/>
      <c r="D79" s="227" t="s">
        <v>712</v>
      </c>
      <c r="E79" s="225" t="s">
        <v>308</v>
      </c>
      <c r="F79" s="225" t="s">
        <v>491</v>
      </c>
      <c r="G79" s="226" t="s">
        <v>713</v>
      </c>
      <c r="H79" s="225" t="s">
        <v>710</v>
      </c>
      <c r="I79" s="225" t="s">
        <v>298</v>
      </c>
      <c r="J79" s="159"/>
      <c r="K79" s="45">
        <f t="shared" si="17"/>
        <v>4317</v>
      </c>
      <c r="L79" s="228">
        <v>323.7</v>
      </c>
      <c r="M79" s="228">
        <v>323.7</v>
      </c>
      <c r="N79" s="228"/>
      <c r="O79" s="228"/>
      <c r="P79" s="228">
        <v>3669.6</v>
      </c>
      <c r="Q79" s="159"/>
      <c r="R79" s="46">
        <v>43190</v>
      </c>
      <c r="S79" s="46">
        <v>43188</v>
      </c>
      <c r="T79" s="86" t="str">
        <f t="shared" ref="T79" si="23">IF(R79-S79&lt;0,(R79-S79)/30.41667,"–")</f>
        <v>–</v>
      </c>
    </row>
    <row r="80" spans="2:20" s="221" customFormat="1" ht="34.5" customHeight="1" x14ac:dyDescent="0.2">
      <c r="B80" s="223" t="s">
        <v>714</v>
      </c>
      <c r="C80" s="223"/>
      <c r="D80" s="224" t="s">
        <v>715</v>
      </c>
      <c r="E80" s="226" t="s">
        <v>716</v>
      </c>
      <c r="F80" s="226" t="s">
        <v>491</v>
      </c>
      <c r="G80" s="226" t="s">
        <v>575</v>
      </c>
      <c r="H80" s="226" t="s">
        <v>710</v>
      </c>
      <c r="I80" s="226" t="s">
        <v>298</v>
      </c>
      <c r="J80" s="57"/>
      <c r="K80" s="45">
        <f t="shared" si="17"/>
        <v>10980</v>
      </c>
      <c r="L80" s="228">
        <v>823.5</v>
      </c>
      <c r="M80" s="228">
        <v>823.5</v>
      </c>
      <c r="N80" s="228"/>
      <c r="O80" s="228"/>
      <c r="P80" s="228">
        <v>9333</v>
      </c>
      <c r="Q80" s="99"/>
      <c r="R80" s="46">
        <v>43190</v>
      </c>
      <c r="S80" s="46">
        <v>43188</v>
      </c>
      <c r="T80" s="86" t="str">
        <f t="shared" ref="T80:T81" si="24">IF(R80-S80&lt;0,(R80-S80)/30.41667,"–")</f>
        <v>–</v>
      </c>
    </row>
    <row r="81" spans="2:20" s="221" customFormat="1" ht="45" customHeight="1" x14ac:dyDescent="0.2">
      <c r="B81" s="223" t="s">
        <v>717</v>
      </c>
      <c r="C81" s="223"/>
      <c r="D81" s="224" t="s">
        <v>718</v>
      </c>
      <c r="E81" s="226" t="s">
        <v>719</v>
      </c>
      <c r="F81" s="226" t="s">
        <v>491</v>
      </c>
      <c r="G81" s="226" t="s">
        <v>390</v>
      </c>
      <c r="H81" s="226" t="s">
        <v>710</v>
      </c>
      <c r="I81" s="226" t="s">
        <v>298</v>
      </c>
      <c r="J81" s="57"/>
      <c r="K81" s="45">
        <f t="shared" si="17"/>
        <v>17152.939999999999</v>
      </c>
      <c r="L81" s="228">
        <v>1286.47</v>
      </c>
      <c r="M81" s="228">
        <v>1286.47</v>
      </c>
      <c r="N81" s="228"/>
      <c r="O81" s="228"/>
      <c r="P81" s="228">
        <v>14580</v>
      </c>
      <c r="Q81" s="99"/>
      <c r="R81" s="46">
        <v>43190</v>
      </c>
      <c r="S81" s="46">
        <v>43188</v>
      </c>
      <c r="T81" s="86" t="str">
        <f t="shared" si="24"/>
        <v>–</v>
      </c>
    </row>
    <row r="82" spans="2:20" s="6" customFormat="1" x14ac:dyDescent="0.25">
      <c r="B82" s="105" t="s">
        <v>513</v>
      </c>
      <c r="C82" s="100"/>
      <c r="D82" s="365" t="s">
        <v>514</v>
      </c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7"/>
    </row>
    <row r="83" spans="2:20" s="219" customFormat="1" ht="24" x14ac:dyDescent="0.25">
      <c r="B83" s="159" t="s">
        <v>720</v>
      </c>
      <c r="C83" s="159"/>
      <c r="D83" s="47" t="s">
        <v>721</v>
      </c>
      <c r="E83" s="53" t="s">
        <v>308</v>
      </c>
      <c r="F83" s="53" t="s">
        <v>491</v>
      </c>
      <c r="G83" s="53" t="s">
        <v>713</v>
      </c>
      <c r="H83" s="159" t="s">
        <v>722</v>
      </c>
      <c r="I83" s="159" t="s">
        <v>298</v>
      </c>
      <c r="J83" s="222"/>
      <c r="K83" s="45">
        <f t="shared" si="17"/>
        <v>33913.85</v>
      </c>
      <c r="L83" s="91">
        <v>2543.5300000000002</v>
      </c>
      <c r="M83" s="91">
        <v>2543.5300000000002</v>
      </c>
      <c r="N83" s="91"/>
      <c r="O83" s="91"/>
      <c r="P83" s="91">
        <v>28826.79</v>
      </c>
      <c r="Q83" s="222"/>
      <c r="R83" s="229">
        <v>43312</v>
      </c>
      <c r="S83" s="295">
        <v>43308</v>
      </c>
      <c r="T83" s="222"/>
    </row>
    <row r="84" spans="2:20" s="219" customFormat="1" ht="36" x14ac:dyDescent="0.25">
      <c r="B84" s="159" t="s">
        <v>723</v>
      </c>
      <c r="C84" s="159"/>
      <c r="D84" s="47" t="s">
        <v>724</v>
      </c>
      <c r="E84" s="53" t="s">
        <v>725</v>
      </c>
      <c r="F84" s="53" t="s">
        <v>491</v>
      </c>
      <c r="G84" s="53" t="s">
        <v>713</v>
      </c>
      <c r="H84" s="159" t="s">
        <v>722</v>
      </c>
      <c r="I84" s="159" t="s">
        <v>298</v>
      </c>
      <c r="J84" s="222"/>
      <c r="K84" s="45">
        <f t="shared" si="17"/>
        <v>34079.07</v>
      </c>
      <c r="L84" s="91"/>
      <c r="M84" s="91">
        <v>2555.9299999999998</v>
      </c>
      <c r="N84" s="91">
        <v>2555.9299999999998</v>
      </c>
      <c r="O84" s="91"/>
      <c r="P84" s="91">
        <v>28967.21</v>
      </c>
      <c r="Q84" s="222"/>
      <c r="R84" s="229">
        <v>43312</v>
      </c>
      <c r="S84" s="295">
        <v>43308</v>
      </c>
      <c r="T84" s="222"/>
    </row>
    <row r="85" spans="2:20" s="219" customFormat="1" ht="24" x14ac:dyDescent="0.25">
      <c r="B85" s="159" t="s">
        <v>726</v>
      </c>
      <c r="C85" s="159"/>
      <c r="D85" s="47" t="s">
        <v>727</v>
      </c>
      <c r="E85" s="53" t="s">
        <v>728</v>
      </c>
      <c r="F85" s="53" t="s">
        <v>491</v>
      </c>
      <c r="G85" s="53" t="s">
        <v>729</v>
      </c>
      <c r="H85" s="159" t="s">
        <v>722</v>
      </c>
      <c r="I85" s="159" t="s">
        <v>298</v>
      </c>
      <c r="J85" s="222"/>
      <c r="K85" s="45">
        <f t="shared" si="17"/>
        <v>178381.68000000002</v>
      </c>
      <c r="L85" s="91">
        <v>13378.64</v>
      </c>
      <c r="M85" s="91">
        <v>13378.62</v>
      </c>
      <c r="N85" s="91"/>
      <c r="O85" s="91"/>
      <c r="P85" s="91">
        <v>151624.42000000001</v>
      </c>
      <c r="Q85" s="222"/>
      <c r="R85" s="229">
        <v>43312</v>
      </c>
      <c r="S85" s="295">
        <v>43293</v>
      </c>
      <c r="T85" s="222"/>
    </row>
    <row r="86" spans="2:20" s="219" customFormat="1" ht="24" x14ac:dyDescent="0.25">
      <c r="B86" s="159" t="s">
        <v>730</v>
      </c>
      <c r="C86" s="159"/>
      <c r="D86" s="47" t="s">
        <v>731</v>
      </c>
      <c r="E86" s="53" t="s">
        <v>732</v>
      </c>
      <c r="F86" s="53" t="s">
        <v>491</v>
      </c>
      <c r="G86" s="53" t="s">
        <v>729</v>
      </c>
      <c r="H86" s="159" t="s">
        <v>722</v>
      </c>
      <c r="I86" s="159" t="s">
        <v>298</v>
      </c>
      <c r="J86" s="222"/>
      <c r="K86" s="45">
        <f t="shared" si="17"/>
        <v>24189.1</v>
      </c>
      <c r="L86" s="91"/>
      <c r="M86" s="91">
        <v>1814.18</v>
      </c>
      <c r="N86" s="91">
        <v>1814.19</v>
      </c>
      <c r="O86" s="91"/>
      <c r="P86" s="91">
        <v>20560.73</v>
      </c>
      <c r="Q86" s="222"/>
      <c r="R86" s="229">
        <v>43312</v>
      </c>
      <c r="S86" s="295">
        <v>43293</v>
      </c>
      <c r="T86" s="222"/>
    </row>
    <row r="87" spans="2:20" s="219" customFormat="1" ht="48" x14ac:dyDescent="0.25">
      <c r="B87" s="159" t="s">
        <v>733</v>
      </c>
      <c r="C87" s="159"/>
      <c r="D87" s="47" t="s">
        <v>734</v>
      </c>
      <c r="E87" s="53" t="s">
        <v>735</v>
      </c>
      <c r="F87" s="53" t="s">
        <v>491</v>
      </c>
      <c r="G87" s="53" t="s">
        <v>729</v>
      </c>
      <c r="H87" s="159" t="s">
        <v>722</v>
      </c>
      <c r="I87" s="159" t="s">
        <v>298</v>
      </c>
      <c r="J87" s="222"/>
      <c r="K87" s="45">
        <f t="shared" si="17"/>
        <v>23626.350000000002</v>
      </c>
      <c r="L87" s="91"/>
      <c r="M87" s="91">
        <v>1771.97</v>
      </c>
      <c r="N87" s="91">
        <v>1771.98</v>
      </c>
      <c r="O87" s="91"/>
      <c r="P87" s="91">
        <v>20082.400000000001</v>
      </c>
      <c r="Q87" s="222"/>
      <c r="R87" s="229">
        <v>43312</v>
      </c>
      <c r="S87" s="295">
        <v>43293</v>
      </c>
      <c r="T87" s="222"/>
    </row>
    <row r="88" spans="2:20" s="219" customFormat="1" ht="36" x14ac:dyDescent="0.25">
      <c r="B88" s="159" t="s">
        <v>736</v>
      </c>
      <c r="C88" s="159"/>
      <c r="D88" s="47" t="s">
        <v>737</v>
      </c>
      <c r="E88" s="53" t="s">
        <v>738</v>
      </c>
      <c r="F88" s="53" t="s">
        <v>491</v>
      </c>
      <c r="G88" s="53" t="s">
        <v>729</v>
      </c>
      <c r="H88" s="159" t="s">
        <v>722</v>
      </c>
      <c r="I88" s="159" t="s">
        <v>298</v>
      </c>
      <c r="J88" s="222"/>
      <c r="K88" s="45">
        <f t="shared" si="17"/>
        <v>14262.54</v>
      </c>
      <c r="L88" s="91"/>
      <c r="M88" s="91">
        <v>1069.69</v>
      </c>
      <c r="N88" s="91">
        <v>1069.7</v>
      </c>
      <c r="O88" s="91"/>
      <c r="P88" s="91">
        <v>12123.15</v>
      </c>
      <c r="Q88" s="222"/>
      <c r="R88" s="229">
        <v>43312</v>
      </c>
      <c r="S88" s="295">
        <v>43293</v>
      </c>
      <c r="T88" s="222"/>
    </row>
    <row r="89" spans="2:20" s="219" customFormat="1" ht="51" customHeight="1" x14ac:dyDescent="0.25">
      <c r="B89" s="159" t="s">
        <v>739</v>
      </c>
      <c r="C89" s="159"/>
      <c r="D89" s="47" t="s">
        <v>740</v>
      </c>
      <c r="E89" s="53" t="s">
        <v>741</v>
      </c>
      <c r="F89" s="53" t="s">
        <v>491</v>
      </c>
      <c r="G89" s="53" t="s">
        <v>729</v>
      </c>
      <c r="H89" s="159" t="s">
        <v>722</v>
      </c>
      <c r="I89" s="159" t="s">
        <v>298</v>
      </c>
      <c r="J89" s="222"/>
      <c r="K89" s="45">
        <f t="shared" si="17"/>
        <v>21476.829999999998</v>
      </c>
      <c r="L89" s="91"/>
      <c r="M89" s="91">
        <v>1610.76</v>
      </c>
      <c r="N89" s="91">
        <v>1610.77</v>
      </c>
      <c r="O89" s="91"/>
      <c r="P89" s="91">
        <v>18255.3</v>
      </c>
      <c r="Q89" s="222"/>
      <c r="R89" s="229">
        <v>43312</v>
      </c>
      <c r="S89" s="295">
        <v>43293</v>
      </c>
      <c r="T89" s="222"/>
    </row>
    <row r="90" spans="2:20" s="219" customFormat="1" ht="24" x14ac:dyDescent="0.25">
      <c r="B90" s="159" t="s">
        <v>742</v>
      </c>
      <c r="C90" s="159"/>
      <c r="D90" s="47" t="s">
        <v>743</v>
      </c>
      <c r="E90" s="53" t="s">
        <v>744</v>
      </c>
      <c r="F90" s="53" t="s">
        <v>491</v>
      </c>
      <c r="G90" s="53" t="s">
        <v>342</v>
      </c>
      <c r="H90" s="159" t="s">
        <v>722</v>
      </c>
      <c r="I90" s="159" t="s">
        <v>298</v>
      </c>
      <c r="J90" s="222"/>
      <c r="K90" s="45">
        <f t="shared" si="17"/>
        <v>100228.23</v>
      </c>
      <c r="L90" s="91">
        <v>7517.12</v>
      </c>
      <c r="M90" s="91">
        <v>7517.11</v>
      </c>
      <c r="N90" s="91"/>
      <c r="O90" s="91"/>
      <c r="P90" s="91">
        <v>85194</v>
      </c>
      <c r="Q90" s="222"/>
      <c r="R90" s="229">
        <v>43312</v>
      </c>
      <c r="S90" s="295">
        <v>43308</v>
      </c>
      <c r="T90" s="222"/>
    </row>
    <row r="91" spans="2:20" s="219" customFormat="1" ht="48" x14ac:dyDescent="0.25">
      <c r="B91" s="159" t="s">
        <v>745</v>
      </c>
      <c r="C91" s="159"/>
      <c r="D91" s="47" t="s">
        <v>746</v>
      </c>
      <c r="E91" s="53" t="s">
        <v>747</v>
      </c>
      <c r="F91" s="53" t="s">
        <v>491</v>
      </c>
      <c r="G91" s="53" t="s">
        <v>342</v>
      </c>
      <c r="H91" s="159" t="s">
        <v>722</v>
      </c>
      <c r="I91" s="159" t="s">
        <v>298</v>
      </c>
      <c r="J91" s="222"/>
      <c r="K91" s="45">
        <f t="shared" si="17"/>
        <v>52792.94</v>
      </c>
      <c r="L91" s="91"/>
      <c r="M91" s="91">
        <v>3959.47</v>
      </c>
      <c r="N91" s="91">
        <v>3959.47</v>
      </c>
      <c r="O91" s="91"/>
      <c r="P91" s="91">
        <v>44874</v>
      </c>
      <c r="Q91" s="222"/>
      <c r="R91" s="229">
        <v>43312</v>
      </c>
      <c r="S91" s="295">
        <v>43308</v>
      </c>
      <c r="T91" s="222"/>
    </row>
    <row r="92" spans="2:20" s="219" customFormat="1" ht="36" x14ac:dyDescent="0.25">
      <c r="B92" s="159" t="s">
        <v>748</v>
      </c>
      <c r="C92" s="159"/>
      <c r="D92" s="47" t="s">
        <v>749</v>
      </c>
      <c r="E92" s="53" t="s">
        <v>750</v>
      </c>
      <c r="F92" s="53" t="s">
        <v>491</v>
      </c>
      <c r="G92" s="53" t="s">
        <v>342</v>
      </c>
      <c r="H92" s="159" t="s">
        <v>722</v>
      </c>
      <c r="I92" s="159" t="s">
        <v>298</v>
      </c>
      <c r="J92" s="222"/>
      <c r="K92" s="45">
        <f t="shared" si="17"/>
        <v>21270.58</v>
      </c>
      <c r="L92" s="91">
        <v>1595.29</v>
      </c>
      <c r="M92" s="91">
        <v>1595.29</v>
      </c>
      <c r="N92" s="91"/>
      <c r="O92" s="91"/>
      <c r="P92" s="91">
        <v>18080</v>
      </c>
      <c r="Q92" s="222"/>
      <c r="R92" s="229">
        <v>43312</v>
      </c>
      <c r="S92" s="295">
        <v>43293</v>
      </c>
      <c r="T92" s="222"/>
    </row>
    <row r="93" spans="2:20" s="219" customFormat="1" ht="36" x14ac:dyDescent="0.25">
      <c r="B93" s="159" t="s">
        <v>751</v>
      </c>
      <c r="C93" s="159"/>
      <c r="D93" s="47" t="s">
        <v>752</v>
      </c>
      <c r="E93" s="53" t="s">
        <v>753</v>
      </c>
      <c r="F93" s="53" t="s">
        <v>491</v>
      </c>
      <c r="G93" s="53" t="s">
        <v>342</v>
      </c>
      <c r="H93" s="159" t="s">
        <v>722</v>
      </c>
      <c r="I93" s="159" t="s">
        <v>298</v>
      </c>
      <c r="J93" s="222"/>
      <c r="K93" s="45">
        <f t="shared" si="17"/>
        <v>18170.59</v>
      </c>
      <c r="L93" s="91">
        <v>1362.8</v>
      </c>
      <c r="M93" s="91">
        <v>1362.79</v>
      </c>
      <c r="N93" s="91"/>
      <c r="O93" s="91"/>
      <c r="P93" s="91">
        <v>15445</v>
      </c>
      <c r="Q93" s="222"/>
      <c r="R93" s="229">
        <v>43312</v>
      </c>
      <c r="S93" s="295">
        <v>43293</v>
      </c>
      <c r="T93" s="222"/>
    </row>
    <row r="94" spans="2:20" s="219" customFormat="1" ht="64.5" customHeight="1" x14ac:dyDescent="0.25">
      <c r="B94" s="159" t="s">
        <v>754</v>
      </c>
      <c r="C94" s="159"/>
      <c r="D94" s="47" t="s">
        <v>755</v>
      </c>
      <c r="E94" s="53" t="s">
        <v>756</v>
      </c>
      <c r="F94" s="53" t="s">
        <v>491</v>
      </c>
      <c r="G94" s="53" t="s">
        <v>342</v>
      </c>
      <c r="H94" s="159" t="s">
        <v>722</v>
      </c>
      <c r="I94" s="159" t="s">
        <v>298</v>
      </c>
      <c r="J94" s="222"/>
      <c r="K94" s="45">
        <f t="shared" si="17"/>
        <v>24982.35</v>
      </c>
      <c r="L94" s="91">
        <v>1873.68</v>
      </c>
      <c r="M94" s="91">
        <v>1873.67</v>
      </c>
      <c r="N94" s="91"/>
      <c r="O94" s="91"/>
      <c r="P94" s="91">
        <v>21235</v>
      </c>
      <c r="Q94" s="222"/>
      <c r="R94" s="229">
        <v>43312</v>
      </c>
      <c r="S94" s="295">
        <v>43308</v>
      </c>
      <c r="T94" s="222"/>
    </row>
    <row r="95" spans="2:20" s="219" customFormat="1" ht="24" x14ac:dyDescent="0.25">
      <c r="B95" s="159" t="s">
        <v>757</v>
      </c>
      <c r="C95" s="159"/>
      <c r="D95" s="47" t="s">
        <v>758</v>
      </c>
      <c r="E95" s="53" t="s">
        <v>759</v>
      </c>
      <c r="F95" s="53" t="s">
        <v>491</v>
      </c>
      <c r="G95" s="53" t="s">
        <v>342</v>
      </c>
      <c r="H95" s="159" t="s">
        <v>722</v>
      </c>
      <c r="I95" s="159" t="s">
        <v>298</v>
      </c>
      <c r="J95" s="222"/>
      <c r="K95" s="45">
        <f t="shared" si="17"/>
        <v>17587.04</v>
      </c>
      <c r="L95" s="91">
        <v>1319.02</v>
      </c>
      <c r="M95" s="91">
        <v>1319.02</v>
      </c>
      <c r="N95" s="91"/>
      <c r="O95" s="91"/>
      <c r="P95" s="91">
        <v>14949</v>
      </c>
      <c r="Q95" s="222"/>
      <c r="R95" s="229">
        <v>43312</v>
      </c>
      <c r="S95" s="295">
        <v>43308</v>
      </c>
      <c r="T95" s="222"/>
    </row>
    <row r="96" spans="2:20" s="219" customFormat="1" ht="24" x14ac:dyDescent="0.25">
      <c r="B96" s="159" t="s">
        <v>760</v>
      </c>
      <c r="C96" s="159"/>
      <c r="D96" s="47" t="s">
        <v>761</v>
      </c>
      <c r="E96" s="53" t="s">
        <v>762</v>
      </c>
      <c r="F96" s="53" t="s">
        <v>491</v>
      </c>
      <c r="G96" s="53" t="s">
        <v>763</v>
      </c>
      <c r="H96" s="159" t="s">
        <v>722</v>
      </c>
      <c r="I96" s="159" t="s">
        <v>298</v>
      </c>
      <c r="J96" s="222"/>
      <c r="K96" s="45">
        <f t="shared" si="17"/>
        <v>240523</v>
      </c>
      <c r="L96" s="91">
        <v>18039.23</v>
      </c>
      <c r="M96" s="91">
        <v>18039.22</v>
      </c>
      <c r="N96" s="91"/>
      <c r="O96" s="91"/>
      <c r="P96" s="91">
        <v>204444.55</v>
      </c>
      <c r="Q96" s="222"/>
      <c r="R96" s="229">
        <v>43312</v>
      </c>
      <c r="S96" s="295">
        <v>43293</v>
      </c>
      <c r="T96" s="222"/>
    </row>
    <row r="97" spans="2:20" s="219" customFormat="1" ht="24" x14ac:dyDescent="0.25">
      <c r="B97" s="159" t="s">
        <v>764</v>
      </c>
      <c r="C97" s="159"/>
      <c r="D97" s="47" t="s">
        <v>765</v>
      </c>
      <c r="E97" s="53" t="s">
        <v>766</v>
      </c>
      <c r="F97" s="53" t="s">
        <v>491</v>
      </c>
      <c r="G97" s="53" t="s">
        <v>763</v>
      </c>
      <c r="H97" s="159" t="s">
        <v>722</v>
      </c>
      <c r="I97" s="159" t="s">
        <v>298</v>
      </c>
      <c r="J97" s="222"/>
      <c r="K97" s="45">
        <f t="shared" si="17"/>
        <v>47242</v>
      </c>
      <c r="L97" s="91"/>
      <c r="M97" s="91">
        <v>3543.15</v>
      </c>
      <c r="N97" s="91">
        <v>3543.15</v>
      </c>
      <c r="O97" s="91"/>
      <c r="P97" s="91">
        <v>40155.699999999997</v>
      </c>
      <c r="Q97" s="222"/>
      <c r="R97" s="229">
        <v>43312</v>
      </c>
      <c r="S97" s="295">
        <v>43293</v>
      </c>
      <c r="T97" s="222"/>
    </row>
    <row r="98" spans="2:20" s="219" customFormat="1" ht="48" x14ac:dyDescent="0.25">
      <c r="B98" s="159" t="s">
        <v>767</v>
      </c>
      <c r="C98" s="159"/>
      <c r="D98" s="47" t="s">
        <v>768</v>
      </c>
      <c r="E98" s="53" t="s">
        <v>769</v>
      </c>
      <c r="F98" s="53" t="s">
        <v>491</v>
      </c>
      <c r="G98" s="53" t="s">
        <v>763</v>
      </c>
      <c r="H98" s="159" t="s">
        <v>722</v>
      </c>
      <c r="I98" s="159" t="s">
        <v>298</v>
      </c>
      <c r="J98" s="222"/>
      <c r="K98" s="45">
        <f t="shared" si="17"/>
        <v>23724</v>
      </c>
      <c r="L98" s="91"/>
      <c r="M98" s="91">
        <v>1779.3</v>
      </c>
      <c r="N98" s="91">
        <v>1779.3</v>
      </c>
      <c r="O98" s="91"/>
      <c r="P98" s="91">
        <v>20165.400000000001</v>
      </c>
      <c r="Q98" s="222"/>
      <c r="R98" s="229">
        <v>43312</v>
      </c>
      <c r="S98" s="295">
        <v>43293</v>
      </c>
      <c r="T98" s="222"/>
    </row>
    <row r="99" spans="2:20" s="219" customFormat="1" ht="24" x14ac:dyDescent="0.25">
      <c r="B99" s="159" t="s">
        <v>770</v>
      </c>
      <c r="C99" s="159"/>
      <c r="D99" s="47" t="s">
        <v>771</v>
      </c>
      <c r="E99" s="53" t="s">
        <v>772</v>
      </c>
      <c r="F99" s="53" t="s">
        <v>491</v>
      </c>
      <c r="G99" s="53" t="s">
        <v>763</v>
      </c>
      <c r="H99" s="159" t="s">
        <v>722</v>
      </c>
      <c r="I99" s="159" t="s">
        <v>298</v>
      </c>
      <c r="J99" s="222"/>
      <c r="K99" s="45">
        <f t="shared" si="17"/>
        <v>107171</v>
      </c>
      <c r="L99" s="91"/>
      <c r="M99" s="91">
        <v>8037.82</v>
      </c>
      <c r="N99" s="91">
        <v>8037.83</v>
      </c>
      <c r="O99" s="91"/>
      <c r="P99" s="91">
        <v>91095.35</v>
      </c>
      <c r="Q99" s="222"/>
      <c r="R99" s="229">
        <v>43312</v>
      </c>
      <c r="S99" s="295">
        <v>43293</v>
      </c>
      <c r="T99" s="222"/>
    </row>
    <row r="100" spans="2:20" s="6" customFormat="1" x14ac:dyDescent="0.25">
      <c r="B100" s="101" t="s">
        <v>668</v>
      </c>
      <c r="C100" s="102"/>
      <c r="D100" s="368" t="s">
        <v>515</v>
      </c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70"/>
    </row>
    <row r="101" spans="2:20" s="6" customFormat="1" x14ac:dyDescent="0.25">
      <c r="B101" s="105" t="s">
        <v>516</v>
      </c>
      <c r="C101" s="100"/>
      <c r="D101" s="371" t="s">
        <v>517</v>
      </c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3"/>
    </row>
    <row r="102" spans="2:20" s="6" customFormat="1" ht="36" x14ac:dyDescent="0.25">
      <c r="B102" s="92" t="s">
        <v>518</v>
      </c>
      <c r="C102" s="93"/>
      <c r="D102" s="43" t="s">
        <v>519</v>
      </c>
      <c r="E102" s="54" t="s">
        <v>294</v>
      </c>
      <c r="F102" s="55" t="s">
        <v>520</v>
      </c>
      <c r="G102" s="55" t="s">
        <v>521</v>
      </c>
      <c r="H102" s="55" t="s">
        <v>706</v>
      </c>
      <c r="I102" s="55" t="s">
        <v>298</v>
      </c>
      <c r="J102" s="55"/>
      <c r="K102" s="45">
        <f t="shared" ref="K102:K110" si="25">SUM(L102:Q102)</f>
        <v>169733.46</v>
      </c>
      <c r="L102" s="45">
        <v>25460.02</v>
      </c>
      <c r="M102" s="45"/>
      <c r="N102" s="45"/>
      <c r="O102" s="45"/>
      <c r="P102" s="45">
        <v>144273.44</v>
      </c>
      <c r="Q102" s="99"/>
      <c r="R102" s="46">
        <v>42673</v>
      </c>
      <c r="S102" s="46">
        <v>42667</v>
      </c>
      <c r="T102" s="86" t="str">
        <f t="shared" ref="T102" si="26">IF(R102-S102&lt;0,(R102-S102)/30.41667,"–")</f>
        <v>–</v>
      </c>
    </row>
    <row r="103" spans="2:20" s="6" customFormat="1" ht="24" x14ac:dyDescent="0.25">
      <c r="B103" s="92" t="s">
        <v>528</v>
      </c>
      <c r="C103" s="93"/>
      <c r="D103" s="43" t="s">
        <v>529</v>
      </c>
      <c r="E103" s="54" t="s">
        <v>308</v>
      </c>
      <c r="F103" s="55" t="s">
        <v>520</v>
      </c>
      <c r="G103" s="55" t="s">
        <v>349</v>
      </c>
      <c r="H103" s="55" t="s">
        <v>706</v>
      </c>
      <c r="I103" s="55" t="s">
        <v>298</v>
      </c>
      <c r="J103" s="55"/>
      <c r="K103" s="45">
        <f t="shared" si="25"/>
        <v>65250</v>
      </c>
      <c r="L103" s="45">
        <v>9788</v>
      </c>
      <c r="M103" s="45"/>
      <c r="N103" s="45"/>
      <c r="O103" s="45"/>
      <c r="P103" s="45">
        <v>55462</v>
      </c>
      <c r="Q103" s="99"/>
      <c r="R103" s="46">
        <v>42673</v>
      </c>
      <c r="S103" s="46">
        <v>42667</v>
      </c>
      <c r="T103" s="86" t="str">
        <f t="shared" ref="T103:T105" si="27">IF(R103-S103&lt;0,(R103-S103)/30.41667,"–")</f>
        <v>–</v>
      </c>
    </row>
    <row r="104" spans="2:20" s="6" customFormat="1" ht="24" x14ac:dyDescent="0.25">
      <c r="B104" s="92" t="s">
        <v>530</v>
      </c>
      <c r="C104" s="93"/>
      <c r="D104" s="43" t="s">
        <v>531</v>
      </c>
      <c r="E104" s="54" t="s">
        <v>328</v>
      </c>
      <c r="F104" s="55" t="s">
        <v>520</v>
      </c>
      <c r="G104" s="55" t="s">
        <v>426</v>
      </c>
      <c r="H104" s="55" t="s">
        <v>706</v>
      </c>
      <c r="I104" s="55" t="s">
        <v>298</v>
      </c>
      <c r="J104" s="55"/>
      <c r="K104" s="45">
        <f t="shared" si="25"/>
        <v>191806.42</v>
      </c>
      <c r="L104" s="45">
        <v>28770.97</v>
      </c>
      <c r="M104" s="45"/>
      <c r="N104" s="45"/>
      <c r="O104" s="45"/>
      <c r="P104" s="45">
        <v>163035.45000000001</v>
      </c>
      <c r="Q104" s="99"/>
      <c r="R104" s="46">
        <v>42673</v>
      </c>
      <c r="S104" s="46">
        <v>42667</v>
      </c>
      <c r="T104" s="86" t="str">
        <f t="shared" ref="T104" si="28">IF(R104-S104&lt;0,(R104-S104)/30.41667,"–")</f>
        <v>–</v>
      </c>
    </row>
    <row r="105" spans="2:20" s="6" customFormat="1" ht="48" x14ac:dyDescent="0.25">
      <c r="B105" s="92" t="s">
        <v>532</v>
      </c>
      <c r="C105" s="93"/>
      <c r="D105" s="43" t="s">
        <v>533</v>
      </c>
      <c r="E105" s="54" t="s">
        <v>534</v>
      </c>
      <c r="F105" s="55" t="s">
        <v>520</v>
      </c>
      <c r="G105" s="55" t="s">
        <v>390</v>
      </c>
      <c r="H105" s="55" t="s">
        <v>706</v>
      </c>
      <c r="I105" s="55" t="s">
        <v>298</v>
      </c>
      <c r="J105" s="55"/>
      <c r="K105" s="45">
        <f t="shared" si="25"/>
        <v>905836.09</v>
      </c>
      <c r="L105" s="45">
        <v>680455.98</v>
      </c>
      <c r="M105" s="45"/>
      <c r="N105" s="45"/>
      <c r="O105" s="45"/>
      <c r="P105" s="45">
        <v>225380.11</v>
      </c>
      <c r="Q105" s="99"/>
      <c r="R105" s="46">
        <v>42735</v>
      </c>
      <c r="S105" s="46">
        <v>42718</v>
      </c>
      <c r="T105" s="86" t="str">
        <f t="shared" si="27"/>
        <v>–</v>
      </c>
    </row>
    <row r="106" spans="2:20" s="6" customFormat="1" x14ac:dyDescent="0.25">
      <c r="B106" s="105" t="s">
        <v>535</v>
      </c>
      <c r="C106" s="100"/>
      <c r="D106" s="365" t="s">
        <v>536</v>
      </c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7"/>
    </row>
    <row r="107" spans="2:20" s="6" customFormat="1" ht="24" x14ac:dyDescent="0.25">
      <c r="B107" s="92" t="s">
        <v>537</v>
      </c>
      <c r="C107" s="93"/>
      <c r="D107" s="43" t="s">
        <v>773</v>
      </c>
      <c r="E107" s="54" t="s">
        <v>294</v>
      </c>
      <c r="F107" s="55" t="s">
        <v>520</v>
      </c>
      <c r="G107" s="55" t="s">
        <v>539</v>
      </c>
      <c r="H107" s="55" t="s">
        <v>540</v>
      </c>
      <c r="I107" s="55" t="s">
        <v>298</v>
      </c>
      <c r="J107" s="55"/>
      <c r="K107" s="45">
        <f t="shared" si="25"/>
        <v>557789.41</v>
      </c>
      <c r="L107" s="45">
        <v>83668.41</v>
      </c>
      <c r="M107" s="64"/>
      <c r="N107" s="45"/>
      <c r="O107" s="45"/>
      <c r="P107" s="45">
        <v>474121</v>
      </c>
      <c r="Q107" s="99"/>
      <c r="R107" s="46">
        <v>42459</v>
      </c>
      <c r="S107" s="46">
        <v>42459</v>
      </c>
      <c r="T107" s="86" t="str">
        <f t="shared" ref="T107" si="29">IF(R107-S107&lt;0,(R107-S107)/30.41667,"–")</f>
        <v>–</v>
      </c>
    </row>
    <row r="108" spans="2:20" s="6" customFormat="1" ht="24" x14ac:dyDescent="0.25">
      <c r="B108" s="92" t="s">
        <v>543</v>
      </c>
      <c r="C108" s="93"/>
      <c r="D108" s="43" t="s">
        <v>544</v>
      </c>
      <c r="E108" s="54" t="s">
        <v>308</v>
      </c>
      <c r="F108" s="55" t="s">
        <v>520</v>
      </c>
      <c r="G108" s="55" t="s">
        <v>545</v>
      </c>
      <c r="H108" s="55" t="s">
        <v>540</v>
      </c>
      <c r="I108" s="55" t="s">
        <v>298</v>
      </c>
      <c r="J108" s="55"/>
      <c r="K108" s="45">
        <f t="shared" si="25"/>
        <v>203981.18</v>
      </c>
      <c r="L108" s="45">
        <v>30597.18</v>
      </c>
      <c r="M108" s="64"/>
      <c r="N108" s="45"/>
      <c r="O108" s="45"/>
      <c r="P108" s="45">
        <v>173384</v>
      </c>
      <c r="Q108" s="99"/>
      <c r="R108" s="46">
        <v>42459</v>
      </c>
      <c r="S108" s="46">
        <v>42459</v>
      </c>
      <c r="T108" s="86" t="str">
        <f t="shared" ref="T108" si="30">IF(R108-S108&lt;0,(R108-S108)/30.41667,"–")</f>
        <v>–</v>
      </c>
    </row>
    <row r="109" spans="2:20" s="6" customFormat="1" ht="24" x14ac:dyDescent="0.25">
      <c r="B109" s="92" t="s">
        <v>546</v>
      </c>
      <c r="C109" s="93"/>
      <c r="D109" s="43" t="s">
        <v>547</v>
      </c>
      <c r="E109" s="54" t="s">
        <v>328</v>
      </c>
      <c r="F109" s="55" t="s">
        <v>520</v>
      </c>
      <c r="G109" s="55" t="s">
        <v>356</v>
      </c>
      <c r="H109" s="55" t="s">
        <v>540</v>
      </c>
      <c r="I109" s="55" t="s">
        <v>298</v>
      </c>
      <c r="J109" s="55"/>
      <c r="K109" s="45">
        <f t="shared" si="25"/>
        <v>297848.24</v>
      </c>
      <c r="L109" s="45">
        <v>44677.24</v>
      </c>
      <c r="M109" s="64"/>
      <c r="N109" s="45"/>
      <c r="O109" s="45"/>
      <c r="P109" s="45">
        <v>253171</v>
      </c>
      <c r="Q109" s="99"/>
      <c r="R109" s="46">
        <v>42459</v>
      </c>
      <c r="S109" s="46">
        <v>42459</v>
      </c>
      <c r="T109" s="86" t="str">
        <f t="shared" ref="T109" si="31">IF(R109-S109&lt;0,(R109-S109)/30.41667,"–")</f>
        <v>–</v>
      </c>
    </row>
    <row r="110" spans="2:20" s="6" customFormat="1" ht="24" x14ac:dyDescent="0.25">
      <c r="B110" s="92" t="s">
        <v>549</v>
      </c>
      <c r="C110" s="93"/>
      <c r="D110" s="43" t="s">
        <v>550</v>
      </c>
      <c r="E110" s="54" t="s">
        <v>304</v>
      </c>
      <c r="F110" s="55" t="s">
        <v>520</v>
      </c>
      <c r="G110" s="55" t="s">
        <v>390</v>
      </c>
      <c r="H110" s="55" t="s">
        <v>540</v>
      </c>
      <c r="I110" s="55" t="s">
        <v>298</v>
      </c>
      <c r="J110" s="55"/>
      <c r="K110" s="45">
        <f t="shared" si="25"/>
        <v>1467581.1764705882</v>
      </c>
      <c r="L110" s="45">
        <v>220137.17647058822</v>
      </c>
      <c r="M110" s="64"/>
      <c r="N110" s="45"/>
      <c r="O110" s="45"/>
      <c r="P110" s="45">
        <v>1247444</v>
      </c>
      <c r="Q110" s="99"/>
      <c r="R110" s="46">
        <v>42459</v>
      </c>
      <c r="S110" s="46">
        <v>42459</v>
      </c>
      <c r="T110" s="86" t="str">
        <f t="shared" ref="T110" si="32">IF(R110-S110&lt;0,(R110-S110)/30.41667,"–")</f>
        <v>–</v>
      </c>
    </row>
    <row r="111" spans="2:20" s="6" customFormat="1" ht="15" customHeight="1" x14ac:dyDescent="0.25">
      <c r="B111" s="101" t="s">
        <v>669</v>
      </c>
      <c r="C111" s="102"/>
      <c r="D111" s="359" t="s">
        <v>552</v>
      </c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1"/>
    </row>
    <row r="112" spans="2:20" s="6" customFormat="1" ht="15" customHeight="1" x14ac:dyDescent="0.25">
      <c r="B112" s="101" t="s">
        <v>670</v>
      </c>
      <c r="C112" s="102"/>
      <c r="D112" s="359" t="s">
        <v>553</v>
      </c>
      <c r="E112" s="360"/>
      <c r="F112" s="360"/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  <c r="Q112" s="360"/>
      <c r="R112" s="360"/>
      <c r="S112" s="360"/>
      <c r="T112" s="361"/>
    </row>
    <row r="113" spans="2:20" s="6" customFormat="1" ht="15" customHeight="1" x14ac:dyDescent="0.25">
      <c r="B113" s="105" t="s">
        <v>554</v>
      </c>
      <c r="C113" s="100"/>
      <c r="D113" s="362" t="s">
        <v>555</v>
      </c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4"/>
    </row>
    <row r="114" spans="2:20" s="6" customFormat="1" ht="24" x14ac:dyDescent="0.25">
      <c r="B114" s="92" t="s">
        <v>556</v>
      </c>
      <c r="C114" s="93"/>
      <c r="D114" s="43" t="s">
        <v>557</v>
      </c>
      <c r="E114" s="54" t="s">
        <v>308</v>
      </c>
      <c r="F114" s="55" t="s">
        <v>295</v>
      </c>
      <c r="G114" s="55" t="s">
        <v>433</v>
      </c>
      <c r="H114" s="55" t="s">
        <v>558</v>
      </c>
      <c r="I114" s="55" t="s">
        <v>298</v>
      </c>
      <c r="J114" s="55"/>
      <c r="K114" s="45">
        <f t="shared" ref="K114:K115" si="33">SUM(L114:Q114)</f>
        <v>510000</v>
      </c>
      <c r="L114" s="73">
        <v>76500</v>
      </c>
      <c r="M114" s="99"/>
      <c r="N114" s="49"/>
      <c r="O114" s="49"/>
      <c r="P114" s="49">
        <v>433500</v>
      </c>
      <c r="Q114" s="73"/>
      <c r="R114" s="46">
        <v>43040</v>
      </c>
      <c r="S114" s="46">
        <v>43031</v>
      </c>
      <c r="T114" s="86" t="str">
        <f t="shared" ref="T114" si="34">IF(R114-S114&lt;0,(R114-S114)/30.41667,"–")</f>
        <v>–</v>
      </c>
    </row>
    <row r="115" spans="2:20" s="6" customFormat="1" ht="24" x14ac:dyDescent="0.25">
      <c r="B115" s="92" t="s">
        <v>563</v>
      </c>
      <c r="C115" s="93"/>
      <c r="D115" s="43" t="s">
        <v>564</v>
      </c>
      <c r="E115" s="54" t="s">
        <v>308</v>
      </c>
      <c r="F115" s="55" t="s">
        <v>295</v>
      </c>
      <c r="G115" s="55" t="s">
        <v>433</v>
      </c>
      <c r="H115" s="55" t="s">
        <v>558</v>
      </c>
      <c r="I115" s="55" t="s">
        <v>298</v>
      </c>
      <c r="J115" s="55"/>
      <c r="K115" s="45">
        <f t="shared" si="33"/>
        <v>421508</v>
      </c>
      <c r="L115" s="91">
        <v>63227</v>
      </c>
      <c r="M115" s="91"/>
      <c r="N115" s="49"/>
      <c r="O115" s="49"/>
      <c r="P115" s="49">
        <v>358281</v>
      </c>
      <c r="Q115" s="91"/>
      <c r="R115" s="46">
        <v>43435</v>
      </c>
      <c r="S115" s="93"/>
      <c r="T115" s="93"/>
    </row>
    <row r="116" spans="2:20" s="6" customFormat="1" ht="15" customHeight="1" x14ac:dyDescent="0.25">
      <c r="B116" s="101" t="s">
        <v>671</v>
      </c>
      <c r="C116" s="102"/>
      <c r="D116" s="359" t="s">
        <v>661</v>
      </c>
      <c r="E116" s="360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0"/>
      <c r="S116" s="360"/>
      <c r="T116" s="361"/>
    </row>
    <row r="117" spans="2:20" s="6" customFormat="1" ht="15" customHeight="1" x14ac:dyDescent="0.25">
      <c r="B117" s="101" t="s">
        <v>672</v>
      </c>
      <c r="C117" s="102"/>
      <c r="D117" s="359" t="s">
        <v>567</v>
      </c>
      <c r="E117" s="360"/>
      <c r="F117" s="360"/>
      <c r="G117" s="360"/>
      <c r="H117" s="360"/>
      <c r="I117" s="360"/>
      <c r="J117" s="360"/>
      <c r="K117" s="360"/>
      <c r="L117" s="360"/>
      <c r="M117" s="360"/>
      <c r="N117" s="360"/>
      <c r="O117" s="360"/>
      <c r="P117" s="360"/>
      <c r="Q117" s="360"/>
      <c r="R117" s="360"/>
      <c r="S117" s="360"/>
      <c r="T117" s="361"/>
    </row>
    <row r="118" spans="2:20" s="6" customFormat="1" ht="15" customHeight="1" x14ac:dyDescent="0.25">
      <c r="B118" s="101" t="s">
        <v>673</v>
      </c>
      <c r="C118" s="102"/>
      <c r="D118" s="359" t="s">
        <v>568</v>
      </c>
      <c r="E118" s="360"/>
      <c r="F118" s="360"/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1"/>
    </row>
    <row r="119" spans="2:20" s="6" customFormat="1" ht="15" customHeight="1" x14ac:dyDescent="0.25">
      <c r="B119" s="105" t="s">
        <v>569</v>
      </c>
      <c r="C119" s="100"/>
      <c r="D119" s="362" t="s">
        <v>570</v>
      </c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4"/>
    </row>
    <row r="120" spans="2:20" s="6" customFormat="1" ht="24" x14ac:dyDescent="0.25">
      <c r="B120" s="92" t="s">
        <v>571</v>
      </c>
      <c r="C120" s="93"/>
      <c r="D120" s="43" t="s">
        <v>572</v>
      </c>
      <c r="E120" s="54" t="s">
        <v>573</v>
      </c>
      <c r="F120" s="55" t="s">
        <v>574</v>
      </c>
      <c r="G120" s="55" t="s">
        <v>575</v>
      </c>
      <c r="H120" s="55" t="s">
        <v>576</v>
      </c>
      <c r="I120" s="55" t="s">
        <v>298</v>
      </c>
      <c r="J120" s="57"/>
      <c r="K120" s="45">
        <f t="shared" ref="K120:K129" si="35">SUM(L120:Q120)</f>
        <v>1538175.43</v>
      </c>
      <c r="L120" s="45">
        <v>350264.18</v>
      </c>
      <c r="M120" s="45"/>
      <c r="N120" s="45"/>
      <c r="O120" s="45"/>
      <c r="P120" s="45">
        <v>1187911.25</v>
      </c>
      <c r="Q120" s="99"/>
      <c r="R120" s="46">
        <v>42522</v>
      </c>
      <c r="S120" s="46">
        <v>42520</v>
      </c>
      <c r="T120" s="86" t="str">
        <f t="shared" ref="T120:T122" si="36">IF(R120-S120&lt;0,(R120-S120)/30.41667,"–")</f>
        <v>–</v>
      </c>
    </row>
    <row r="121" spans="2:20" s="6" customFormat="1" ht="36" x14ac:dyDescent="0.25">
      <c r="B121" s="92" t="s">
        <v>584</v>
      </c>
      <c r="C121" s="93"/>
      <c r="D121" s="47" t="s">
        <v>585</v>
      </c>
      <c r="E121" s="53" t="s">
        <v>586</v>
      </c>
      <c r="F121" s="53" t="s">
        <v>574</v>
      </c>
      <c r="G121" s="53" t="s">
        <v>545</v>
      </c>
      <c r="H121" s="53" t="s">
        <v>576</v>
      </c>
      <c r="I121" s="53" t="s">
        <v>298</v>
      </c>
      <c r="J121" s="52"/>
      <c r="K121" s="45">
        <f t="shared" si="35"/>
        <v>617660.84</v>
      </c>
      <c r="L121" s="49">
        <v>262385.8</v>
      </c>
      <c r="M121" s="45"/>
      <c r="N121" s="49"/>
      <c r="O121" s="49"/>
      <c r="P121" s="49">
        <v>355275.04</v>
      </c>
      <c r="Q121" s="99"/>
      <c r="R121" s="46">
        <v>42522</v>
      </c>
      <c r="S121" s="46">
        <v>42520</v>
      </c>
      <c r="T121" s="86" t="str">
        <f t="shared" ref="T121" si="37">IF(R121-S121&lt;0,(R121-S121)/30.41667,"–")</f>
        <v>–</v>
      </c>
    </row>
    <row r="122" spans="2:20" s="6" customFormat="1" ht="36" x14ac:dyDescent="0.25">
      <c r="B122" s="92" t="s">
        <v>589</v>
      </c>
      <c r="C122" s="93"/>
      <c r="D122" s="47" t="s">
        <v>590</v>
      </c>
      <c r="E122" s="53" t="s">
        <v>591</v>
      </c>
      <c r="F122" s="53" t="s">
        <v>574</v>
      </c>
      <c r="G122" s="53" t="s">
        <v>426</v>
      </c>
      <c r="H122" s="53" t="s">
        <v>576</v>
      </c>
      <c r="I122" s="53" t="s">
        <v>298</v>
      </c>
      <c r="J122" s="52"/>
      <c r="K122" s="45">
        <f t="shared" si="35"/>
        <v>1902679.07</v>
      </c>
      <c r="L122" s="49">
        <v>743921.52</v>
      </c>
      <c r="M122" s="45"/>
      <c r="N122" s="49"/>
      <c r="O122" s="49"/>
      <c r="P122" s="49">
        <v>1158757.55</v>
      </c>
      <c r="Q122" s="99"/>
      <c r="R122" s="46">
        <v>42551</v>
      </c>
      <c r="S122" s="46">
        <v>42550</v>
      </c>
      <c r="T122" s="86" t="str">
        <f t="shared" si="36"/>
        <v>–</v>
      </c>
    </row>
    <row r="123" spans="2:20" s="6" customFormat="1" ht="36" x14ac:dyDescent="0.25">
      <c r="B123" s="92" t="s">
        <v>594</v>
      </c>
      <c r="C123" s="93"/>
      <c r="D123" s="47" t="s">
        <v>595</v>
      </c>
      <c r="E123" s="53" t="s">
        <v>596</v>
      </c>
      <c r="F123" s="53" t="s">
        <v>574</v>
      </c>
      <c r="G123" s="53" t="s">
        <v>390</v>
      </c>
      <c r="H123" s="53" t="s">
        <v>576</v>
      </c>
      <c r="I123" s="53" t="s">
        <v>298</v>
      </c>
      <c r="J123" s="52"/>
      <c r="K123" s="45">
        <f t="shared" si="35"/>
        <v>2854494.11</v>
      </c>
      <c r="L123" s="49">
        <v>603558.57999999996</v>
      </c>
      <c r="M123" s="45"/>
      <c r="N123" s="49">
        <v>603558.57999999996</v>
      </c>
      <c r="O123" s="49"/>
      <c r="P123" s="49">
        <v>1647376.95</v>
      </c>
      <c r="Q123" s="99"/>
      <c r="R123" s="46">
        <v>42522</v>
      </c>
      <c r="S123" s="46">
        <v>42520</v>
      </c>
      <c r="T123" s="86" t="str">
        <f t="shared" ref="T123" si="38">IF(R123-S123&lt;0,(R123-S123)/30.41667,"–")</f>
        <v>–</v>
      </c>
    </row>
    <row r="124" spans="2:20" s="6" customFormat="1" ht="36" x14ac:dyDescent="0.25">
      <c r="B124" s="92" t="s">
        <v>598</v>
      </c>
      <c r="C124" s="93"/>
      <c r="D124" s="47" t="s">
        <v>599</v>
      </c>
      <c r="E124" s="53" t="s">
        <v>573</v>
      </c>
      <c r="F124" s="53" t="s">
        <v>574</v>
      </c>
      <c r="G124" s="53" t="s">
        <v>575</v>
      </c>
      <c r="H124" s="53" t="s">
        <v>576</v>
      </c>
      <c r="I124" s="53" t="s">
        <v>298</v>
      </c>
      <c r="J124" s="48"/>
      <c r="K124" s="45">
        <f t="shared" si="35"/>
        <v>444870</v>
      </c>
      <c r="L124" s="49">
        <v>320131.20000000001</v>
      </c>
      <c r="M124" s="45"/>
      <c r="N124" s="49"/>
      <c r="O124" s="49"/>
      <c r="P124" s="49">
        <v>124738.8</v>
      </c>
      <c r="Q124" s="94"/>
      <c r="R124" s="46">
        <v>43221</v>
      </c>
      <c r="S124" s="46">
        <v>43256</v>
      </c>
      <c r="T124" s="86">
        <f t="shared" ref="T124" si="39">IF(R124-S124&lt;0,(R124-S124)/30.41667,"–")</f>
        <v>-1.150684805404405</v>
      </c>
    </row>
    <row r="125" spans="2:20" s="6" customFormat="1" ht="36" x14ac:dyDescent="0.25">
      <c r="B125" s="92" t="s">
        <v>600</v>
      </c>
      <c r="C125" s="93"/>
      <c r="D125" s="47" t="s">
        <v>601</v>
      </c>
      <c r="E125" s="53" t="s">
        <v>586</v>
      </c>
      <c r="F125" s="53" t="s">
        <v>574</v>
      </c>
      <c r="G125" s="53" t="s">
        <v>545</v>
      </c>
      <c r="H125" s="53" t="s">
        <v>576</v>
      </c>
      <c r="I125" s="53" t="s">
        <v>298</v>
      </c>
      <c r="J125" s="48"/>
      <c r="K125" s="45">
        <f t="shared" si="35"/>
        <v>136161.48000000001</v>
      </c>
      <c r="L125" s="49">
        <v>29723.21</v>
      </c>
      <c r="M125" s="45"/>
      <c r="N125" s="49"/>
      <c r="O125" s="49"/>
      <c r="P125" s="49">
        <v>106438.27</v>
      </c>
      <c r="Q125" s="94"/>
      <c r="R125" s="46">
        <v>43189</v>
      </c>
      <c r="S125" s="46">
        <v>43188</v>
      </c>
      <c r="T125" s="86" t="str">
        <f t="shared" ref="T125:T127" si="40">IF(R125-S125&lt;0,(R125-S125)/30.41667,"–")</f>
        <v>–</v>
      </c>
    </row>
    <row r="126" spans="2:20" s="6" customFormat="1" ht="36" x14ac:dyDescent="0.25">
      <c r="B126" s="92" t="s">
        <v>602</v>
      </c>
      <c r="C126" s="93"/>
      <c r="D126" s="47" t="s">
        <v>603</v>
      </c>
      <c r="E126" s="53" t="s">
        <v>591</v>
      </c>
      <c r="F126" s="53" t="s">
        <v>574</v>
      </c>
      <c r="G126" s="53" t="s">
        <v>426</v>
      </c>
      <c r="H126" s="53" t="s">
        <v>576</v>
      </c>
      <c r="I126" s="53" t="s">
        <v>298</v>
      </c>
      <c r="J126" s="48"/>
      <c r="K126" s="45">
        <f t="shared" si="35"/>
        <v>548947.86</v>
      </c>
      <c r="L126" s="49">
        <v>274473.93</v>
      </c>
      <c r="M126" s="45"/>
      <c r="N126" s="49"/>
      <c r="O126" s="49"/>
      <c r="P126" s="49">
        <v>274473.93</v>
      </c>
      <c r="Q126" s="94"/>
      <c r="R126" s="46">
        <v>43312</v>
      </c>
      <c r="S126" s="46">
        <v>43293</v>
      </c>
      <c r="T126" s="86" t="str">
        <f t="shared" si="40"/>
        <v>–</v>
      </c>
    </row>
    <row r="127" spans="2:20" s="6" customFormat="1" ht="36" x14ac:dyDescent="0.25">
      <c r="B127" s="92" t="s">
        <v>604</v>
      </c>
      <c r="C127" s="93"/>
      <c r="D127" s="47" t="s">
        <v>605</v>
      </c>
      <c r="E127" s="53" t="s">
        <v>596</v>
      </c>
      <c r="F127" s="53" t="s">
        <v>574</v>
      </c>
      <c r="G127" s="53" t="s">
        <v>320</v>
      </c>
      <c r="H127" s="53" t="s">
        <v>576</v>
      </c>
      <c r="I127" s="53" t="s">
        <v>298</v>
      </c>
      <c r="J127" s="48"/>
      <c r="K127" s="45">
        <f t="shared" si="35"/>
        <v>646255.83000000007</v>
      </c>
      <c r="L127" s="91">
        <v>150423.45000000001</v>
      </c>
      <c r="M127" s="91"/>
      <c r="N127" s="91">
        <v>150423.45000000001</v>
      </c>
      <c r="O127" s="228"/>
      <c r="P127" s="228">
        <v>345408.93</v>
      </c>
      <c r="Q127" s="94"/>
      <c r="R127" s="46">
        <v>43312</v>
      </c>
      <c r="S127" s="46">
        <v>43342</v>
      </c>
      <c r="T127" s="86">
        <f t="shared" si="40"/>
        <v>-0.98630126177520416</v>
      </c>
    </row>
    <row r="128" spans="2:20" s="6" customFormat="1" ht="15" customHeight="1" x14ac:dyDescent="0.25">
      <c r="B128" s="105" t="s">
        <v>606</v>
      </c>
      <c r="C128" s="100"/>
      <c r="D128" s="362" t="s">
        <v>607</v>
      </c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  <c r="T128" s="364"/>
    </row>
    <row r="129" spans="2:20" s="6" customFormat="1" ht="36" x14ac:dyDescent="0.25">
      <c r="B129" s="92" t="s">
        <v>608</v>
      </c>
      <c r="C129" s="93"/>
      <c r="D129" s="43" t="s">
        <v>609</v>
      </c>
      <c r="E129" s="54" t="s">
        <v>596</v>
      </c>
      <c r="F129" s="55" t="s">
        <v>574</v>
      </c>
      <c r="G129" s="55" t="s">
        <v>390</v>
      </c>
      <c r="H129" s="55" t="s">
        <v>610</v>
      </c>
      <c r="I129" s="55" t="s">
        <v>298</v>
      </c>
      <c r="J129" s="57"/>
      <c r="K129" s="45">
        <f t="shared" si="35"/>
        <v>1681106.52</v>
      </c>
      <c r="L129" s="45">
        <v>252165.98</v>
      </c>
      <c r="M129" s="45"/>
      <c r="N129" s="45"/>
      <c r="O129" s="45"/>
      <c r="P129" s="45">
        <v>1428940.54</v>
      </c>
      <c r="Q129" s="99"/>
      <c r="R129" s="46">
        <v>42520</v>
      </c>
      <c r="S129" s="46">
        <v>42520</v>
      </c>
      <c r="T129" s="86" t="str">
        <f t="shared" ref="T129" si="41">IF(R129-S129&lt;0,(R129-S129)/30.41667,"–")</f>
        <v>–</v>
      </c>
    </row>
    <row r="130" spans="2:20" s="6" customFormat="1" ht="15" customHeight="1" x14ac:dyDescent="0.25">
      <c r="B130" s="101" t="s">
        <v>674</v>
      </c>
      <c r="C130" s="102"/>
      <c r="D130" s="359" t="s">
        <v>615</v>
      </c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1"/>
    </row>
    <row r="131" spans="2:20" s="6" customFormat="1" ht="15" customHeight="1" x14ac:dyDescent="0.25">
      <c r="B131" s="105" t="s">
        <v>616</v>
      </c>
      <c r="C131" s="100"/>
      <c r="D131" s="362" t="s">
        <v>617</v>
      </c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  <c r="R131" s="363"/>
      <c r="S131" s="363"/>
      <c r="T131" s="364"/>
    </row>
    <row r="132" spans="2:20" s="6" customFormat="1" ht="24" x14ac:dyDescent="0.25">
      <c r="B132" s="92" t="s">
        <v>618</v>
      </c>
      <c r="C132" s="93"/>
      <c r="D132" s="43" t="s">
        <v>619</v>
      </c>
      <c r="E132" s="54" t="s">
        <v>620</v>
      </c>
      <c r="F132" s="55" t="s">
        <v>574</v>
      </c>
      <c r="G132" s="55" t="s">
        <v>433</v>
      </c>
      <c r="H132" s="55" t="s">
        <v>621</v>
      </c>
      <c r="I132" s="55" t="s">
        <v>298</v>
      </c>
      <c r="J132" s="57"/>
      <c r="K132" s="45">
        <f t="shared" ref="K132" si="42">SUM(L132:Q132)</f>
        <v>2800256.02</v>
      </c>
      <c r="L132" s="45"/>
      <c r="M132" s="45"/>
      <c r="N132" s="45"/>
      <c r="O132" s="45">
        <v>420038.40000000002</v>
      </c>
      <c r="P132" s="45">
        <v>2380217.62</v>
      </c>
      <c r="Q132" s="99"/>
      <c r="R132" s="46">
        <v>42826</v>
      </c>
      <c r="S132" s="46">
        <v>42718</v>
      </c>
      <c r="T132" s="86" t="str">
        <f t="shared" ref="T132" si="43">IF(R132-S132&lt;0,(R132-S132)/30.41667,"–")</f>
        <v>–</v>
      </c>
    </row>
    <row r="133" spans="2:20" s="6" customFormat="1" ht="15" customHeight="1" x14ac:dyDescent="0.25">
      <c r="B133" s="101" t="s">
        <v>675</v>
      </c>
      <c r="C133" s="102"/>
      <c r="D133" s="359" t="s">
        <v>624</v>
      </c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1"/>
    </row>
    <row r="134" spans="2:20" s="6" customFormat="1" ht="15" customHeight="1" x14ac:dyDescent="0.25">
      <c r="B134" s="101" t="s">
        <v>676</v>
      </c>
      <c r="C134" s="102"/>
      <c r="D134" s="359" t="s">
        <v>625</v>
      </c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1"/>
    </row>
    <row r="135" spans="2:20" s="6" customFormat="1" x14ac:dyDescent="0.25">
      <c r="B135" s="105" t="s">
        <v>626</v>
      </c>
      <c r="C135" s="100"/>
      <c r="D135" s="362" t="s">
        <v>627</v>
      </c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3"/>
      <c r="S135" s="363"/>
      <c r="T135" s="364"/>
    </row>
    <row r="136" spans="2:20" s="6" customFormat="1" ht="24" x14ac:dyDescent="0.25">
      <c r="B136" s="107" t="s">
        <v>628</v>
      </c>
      <c r="C136" s="93"/>
      <c r="D136" s="47" t="s">
        <v>629</v>
      </c>
      <c r="E136" s="53" t="s">
        <v>308</v>
      </c>
      <c r="F136" s="53" t="s">
        <v>574</v>
      </c>
      <c r="G136" s="53" t="s">
        <v>545</v>
      </c>
      <c r="H136" s="53" t="s">
        <v>630</v>
      </c>
      <c r="I136" s="53" t="s">
        <v>298</v>
      </c>
      <c r="J136" s="53"/>
      <c r="K136" s="45">
        <f t="shared" ref="K136:K142" si="44">SUM(L136:Q136)</f>
        <v>363047.26</v>
      </c>
      <c r="L136" s="49">
        <v>54457.09</v>
      </c>
      <c r="M136" s="49"/>
      <c r="N136" s="49"/>
      <c r="O136" s="49"/>
      <c r="P136" s="49">
        <v>308590.17</v>
      </c>
      <c r="Q136" s="216"/>
      <c r="R136" s="50">
        <v>42644</v>
      </c>
      <c r="S136" s="46">
        <v>42643</v>
      </c>
      <c r="T136" s="86" t="str">
        <f t="shared" ref="T136:T137" si="45">IF(R136-S136&lt;0,(R136-S136)/30.41667,"–")</f>
        <v>–</v>
      </c>
    </row>
    <row r="137" spans="2:20" s="6" customFormat="1" ht="24" x14ac:dyDescent="0.25">
      <c r="B137" s="107" t="s">
        <v>639</v>
      </c>
      <c r="C137" s="93"/>
      <c r="D137" s="47" t="s">
        <v>640</v>
      </c>
      <c r="E137" s="53" t="s">
        <v>328</v>
      </c>
      <c r="F137" s="53" t="s">
        <v>574</v>
      </c>
      <c r="G137" s="53" t="s">
        <v>426</v>
      </c>
      <c r="H137" s="53" t="s">
        <v>630</v>
      </c>
      <c r="I137" s="53" t="s">
        <v>298</v>
      </c>
      <c r="J137" s="53"/>
      <c r="K137" s="45">
        <f t="shared" si="44"/>
        <v>53554.71</v>
      </c>
      <c r="L137" s="49">
        <v>8033.21</v>
      </c>
      <c r="M137" s="49"/>
      <c r="N137" s="49"/>
      <c r="O137" s="49"/>
      <c r="P137" s="49">
        <v>45521.5</v>
      </c>
      <c r="Q137" s="216"/>
      <c r="R137" s="50">
        <v>42644</v>
      </c>
      <c r="S137" s="46">
        <v>42643</v>
      </c>
      <c r="T137" s="86" t="str">
        <f t="shared" si="45"/>
        <v>–</v>
      </c>
    </row>
    <row r="138" spans="2:20" s="6" customFormat="1" ht="24" x14ac:dyDescent="0.25">
      <c r="B138" s="107" t="s">
        <v>641</v>
      </c>
      <c r="C138" s="93"/>
      <c r="D138" s="47" t="s">
        <v>642</v>
      </c>
      <c r="E138" s="53" t="s">
        <v>328</v>
      </c>
      <c r="F138" s="53" t="s">
        <v>574</v>
      </c>
      <c r="G138" s="53" t="s">
        <v>426</v>
      </c>
      <c r="H138" s="53" t="s">
        <v>630</v>
      </c>
      <c r="I138" s="53" t="s">
        <v>298</v>
      </c>
      <c r="J138" s="53"/>
      <c r="K138" s="45">
        <f t="shared" si="44"/>
        <v>920732.19</v>
      </c>
      <c r="L138" s="49">
        <v>138109.82</v>
      </c>
      <c r="M138" s="49"/>
      <c r="N138" s="49"/>
      <c r="O138" s="49"/>
      <c r="P138" s="49">
        <v>782622.37</v>
      </c>
      <c r="Q138" s="216"/>
      <c r="R138" s="50">
        <v>43344</v>
      </c>
      <c r="S138" s="46">
        <v>43367</v>
      </c>
      <c r="T138" s="86" t="s">
        <v>34</v>
      </c>
    </row>
    <row r="139" spans="2:20" s="6" customFormat="1" ht="24" x14ac:dyDescent="0.25">
      <c r="B139" s="107" t="s">
        <v>645</v>
      </c>
      <c r="C139" s="93"/>
      <c r="D139" s="47" t="s">
        <v>646</v>
      </c>
      <c r="E139" s="53" t="s">
        <v>328</v>
      </c>
      <c r="F139" s="53" t="s">
        <v>574</v>
      </c>
      <c r="G139" s="53" t="s">
        <v>426</v>
      </c>
      <c r="H139" s="53" t="s">
        <v>630</v>
      </c>
      <c r="I139" s="53" t="s">
        <v>298</v>
      </c>
      <c r="J139" s="53" t="s">
        <v>647</v>
      </c>
      <c r="K139" s="45">
        <f t="shared" si="44"/>
        <v>296511.84999999998</v>
      </c>
      <c r="L139" s="49">
        <v>44476.78</v>
      </c>
      <c r="M139" s="49"/>
      <c r="N139" s="49"/>
      <c r="O139" s="49"/>
      <c r="P139" s="49">
        <v>252035.07</v>
      </c>
      <c r="Q139" s="216"/>
      <c r="R139" s="50"/>
      <c r="S139" s="216"/>
      <c r="T139" s="86"/>
    </row>
    <row r="140" spans="2:20" s="6" customFormat="1" ht="24" x14ac:dyDescent="0.25">
      <c r="B140" s="107" t="s">
        <v>648</v>
      </c>
      <c r="C140" s="93"/>
      <c r="D140" s="47" t="s">
        <v>649</v>
      </c>
      <c r="E140" s="53" t="s">
        <v>304</v>
      </c>
      <c r="F140" s="53" t="s">
        <v>574</v>
      </c>
      <c r="G140" s="53" t="s">
        <v>390</v>
      </c>
      <c r="H140" s="53" t="s">
        <v>630</v>
      </c>
      <c r="I140" s="53" t="s">
        <v>298</v>
      </c>
      <c r="J140" s="53"/>
      <c r="K140" s="45">
        <f t="shared" si="44"/>
        <v>351002.55</v>
      </c>
      <c r="L140" s="49">
        <v>52650.39</v>
      </c>
      <c r="M140" s="49"/>
      <c r="N140" s="49"/>
      <c r="O140" s="49"/>
      <c r="P140" s="49">
        <v>298352.15999999997</v>
      </c>
      <c r="Q140" s="216"/>
      <c r="R140" s="50">
        <v>42644</v>
      </c>
      <c r="S140" s="46">
        <v>42643</v>
      </c>
      <c r="T140" s="86" t="str">
        <f>IF(R140-S141&lt;0,(R140-S141)/30.41667,"–")</f>
        <v>–</v>
      </c>
    </row>
    <row r="141" spans="2:20" s="6" customFormat="1" ht="24" x14ac:dyDescent="0.25">
      <c r="B141" s="107" t="s">
        <v>651</v>
      </c>
      <c r="C141" s="93"/>
      <c r="D141" s="47" t="s">
        <v>652</v>
      </c>
      <c r="E141" s="53" t="s">
        <v>294</v>
      </c>
      <c r="F141" s="53" t="s">
        <v>574</v>
      </c>
      <c r="G141" s="53" t="s">
        <v>575</v>
      </c>
      <c r="H141" s="53" t="s">
        <v>630</v>
      </c>
      <c r="I141" s="53" t="s">
        <v>298</v>
      </c>
      <c r="J141" s="53"/>
      <c r="K141" s="45">
        <f t="shared" si="44"/>
        <v>419348</v>
      </c>
      <c r="L141" s="49">
        <v>62902.2</v>
      </c>
      <c r="M141" s="49"/>
      <c r="N141" s="49"/>
      <c r="O141" s="49"/>
      <c r="P141" s="49">
        <v>356445.8</v>
      </c>
      <c r="Q141" s="216"/>
      <c r="R141" s="50">
        <v>42644</v>
      </c>
      <c r="S141" s="46">
        <v>42643</v>
      </c>
      <c r="T141" s="86" t="s">
        <v>34</v>
      </c>
    </row>
    <row r="142" spans="2:20" s="6" customFormat="1" ht="36" x14ac:dyDescent="0.25">
      <c r="B142" s="107" t="s">
        <v>653</v>
      </c>
      <c r="C142" s="93"/>
      <c r="D142" s="43" t="s">
        <v>654</v>
      </c>
      <c r="E142" s="54" t="s">
        <v>294</v>
      </c>
      <c r="F142" s="55" t="s">
        <v>574</v>
      </c>
      <c r="G142" s="55" t="s">
        <v>575</v>
      </c>
      <c r="H142" s="55" t="s">
        <v>630</v>
      </c>
      <c r="I142" s="55" t="s">
        <v>298</v>
      </c>
      <c r="J142" s="55"/>
      <c r="K142" s="45">
        <f t="shared" si="44"/>
        <v>129411.77</v>
      </c>
      <c r="L142" s="45">
        <v>19411.77</v>
      </c>
      <c r="M142" s="45"/>
      <c r="N142" s="45"/>
      <c r="O142" s="45"/>
      <c r="P142" s="49">
        <v>110000</v>
      </c>
      <c r="Q142" s="216"/>
      <c r="R142" s="50">
        <v>43374</v>
      </c>
      <c r="S142" s="46">
        <v>43326</v>
      </c>
      <c r="T142" s="86" t="s">
        <v>34</v>
      </c>
    </row>
    <row r="143" spans="2:20" s="6" customFormat="1" x14ac:dyDescent="0.25">
      <c r="B143" s="230" t="s">
        <v>23</v>
      </c>
      <c r="C143" s="231"/>
      <c r="D143" s="231"/>
      <c r="E143" s="231"/>
      <c r="F143" s="231"/>
      <c r="G143" s="231"/>
      <c r="H143" s="231"/>
      <c r="I143" s="231"/>
      <c r="J143" s="232"/>
      <c r="K143" s="217">
        <f t="shared" ref="K143:P143" si="46">SUM(K12:K142)-K139</f>
        <v>41999733.471764706</v>
      </c>
      <c r="L143" s="217">
        <f t="shared" si="46"/>
        <v>7601671.2241176479</v>
      </c>
      <c r="M143" s="217">
        <f t="shared" si="46"/>
        <v>602344.81764705898</v>
      </c>
      <c r="N143" s="217">
        <f t="shared" si="46"/>
        <v>780124.34999999986</v>
      </c>
      <c r="O143" s="217">
        <f t="shared" si="46"/>
        <v>840163.01</v>
      </c>
      <c r="P143" s="217">
        <f t="shared" si="46"/>
        <v>28854068.070000004</v>
      </c>
      <c r="Q143" s="99"/>
      <c r="R143" s="99"/>
      <c r="S143" s="93"/>
      <c r="T143" s="93"/>
    </row>
    <row r="144" spans="2:20" ht="15.75" x14ac:dyDescent="0.25">
      <c r="B144" s="218" t="s">
        <v>41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</row>
    <row r="145" spans="2:23" ht="15.75" x14ac:dyDescent="0.25">
      <c r="B145" s="4"/>
    </row>
    <row r="146" spans="2:23" ht="15.75" x14ac:dyDescent="0.25">
      <c r="B146" s="4"/>
    </row>
    <row r="147" spans="2:23" ht="51" customHeight="1" x14ac:dyDescent="0.25"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22"/>
      <c r="V147" s="22"/>
      <c r="W147" s="22"/>
    </row>
  </sheetData>
  <mergeCells count="51">
    <mergeCell ref="S5:T5"/>
    <mergeCell ref="D9:T9"/>
    <mergeCell ref="D10:T10"/>
    <mergeCell ref="D11:T11"/>
    <mergeCell ref="D14:T14"/>
    <mergeCell ref="D8:T8"/>
    <mergeCell ref="B147:T147"/>
    <mergeCell ref="B6:J6"/>
    <mergeCell ref="K6:Q6"/>
    <mergeCell ref="R6:T6"/>
    <mergeCell ref="D17:T17"/>
    <mergeCell ref="D21:T21"/>
    <mergeCell ref="D24:T24"/>
    <mergeCell ref="D25:T25"/>
    <mergeCell ref="D26:T26"/>
    <mergeCell ref="D32:T32"/>
    <mergeCell ref="D22:J22"/>
    <mergeCell ref="D35:T35"/>
    <mergeCell ref="D40:T40"/>
    <mergeCell ref="D42:T42"/>
    <mergeCell ref="D43:T43"/>
    <mergeCell ref="D46:T46"/>
    <mergeCell ref="D51:T51"/>
    <mergeCell ref="D52:T52"/>
    <mergeCell ref="D54:T54"/>
    <mergeCell ref="D55:T55"/>
    <mergeCell ref="D56:T56"/>
    <mergeCell ref="D100:T100"/>
    <mergeCell ref="D101:T101"/>
    <mergeCell ref="D106:T106"/>
    <mergeCell ref="D62:T62"/>
    <mergeCell ref="D67:T67"/>
    <mergeCell ref="D71:T71"/>
    <mergeCell ref="D72:T72"/>
    <mergeCell ref="D77:T77"/>
    <mergeCell ref="D19:T19"/>
    <mergeCell ref="D133:T133"/>
    <mergeCell ref="D134:T134"/>
    <mergeCell ref="D135:T135"/>
    <mergeCell ref="D118:T118"/>
    <mergeCell ref="D119:T119"/>
    <mergeCell ref="D128:T128"/>
    <mergeCell ref="D130:T130"/>
    <mergeCell ref="D131:T131"/>
    <mergeCell ref="D111:T111"/>
    <mergeCell ref="D112:T112"/>
    <mergeCell ref="D113:T113"/>
    <mergeCell ref="D116:T116"/>
    <mergeCell ref="D117:T117"/>
    <mergeCell ref="D57:T57"/>
    <mergeCell ref="D82:T82"/>
  </mergeCells>
  <pageMargins left="0.11811023622047245" right="0.11811023622047245" top="0.15748031496062992" bottom="0.15748031496062992" header="0" footer="0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topLeftCell="A91" zoomScale="80" zoomScaleNormal="80" workbookViewId="0">
      <selection activeCell="S95" sqref="S95"/>
    </sheetView>
  </sheetViews>
  <sheetFormatPr defaultRowHeight="15" x14ac:dyDescent="0.25"/>
  <cols>
    <col min="1" max="1" width="4.28515625" style="6" customWidth="1"/>
    <col min="2" max="2" width="9.140625" style="6"/>
    <col min="3" max="3" width="17.42578125" style="6" customWidth="1"/>
    <col min="4" max="4" width="31.5703125" style="6" customWidth="1"/>
    <col min="5" max="5" width="9.7109375" style="6" customWidth="1"/>
    <col min="6" max="6" width="10.7109375" style="6" customWidth="1"/>
    <col min="7" max="7" width="12.42578125" style="6" customWidth="1"/>
    <col min="8" max="8" width="18.42578125" style="6" customWidth="1"/>
    <col min="9" max="9" width="6.5703125" style="6" customWidth="1"/>
    <col min="10" max="10" width="7.85546875" style="6" customWidth="1"/>
    <col min="11" max="11" width="12.140625" style="6" customWidth="1"/>
    <col min="12" max="12" width="12.28515625" style="6" customWidth="1"/>
    <col min="13" max="13" width="9.5703125" style="6" customWidth="1"/>
    <col min="14" max="15" width="10" style="6" customWidth="1"/>
    <col min="16" max="16" width="12.5703125" style="6" customWidth="1"/>
    <col min="17" max="17" width="10.85546875" style="6" customWidth="1"/>
    <col min="18" max="19" width="9.28515625" style="6" bestFit="1" customWidth="1"/>
    <col min="20" max="20" width="9.5703125" style="6" customWidth="1"/>
    <col min="21" max="16384" width="9.140625" style="6"/>
  </cols>
  <sheetData>
    <row r="1" spans="2:23" ht="15.75" x14ac:dyDescent="0.25">
      <c r="K1" s="36"/>
      <c r="L1" s="36"/>
      <c r="M1" s="36"/>
      <c r="O1" s="36"/>
      <c r="P1" s="36"/>
      <c r="Q1" s="204" t="s">
        <v>120</v>
      </c>
      <c r="R1" s="205"/>
      <c r="S1" s="205"/>
      <c r="U1" s="36"/>
      <c r="V1" s="36"/>
    </row>
    <row r="2" spans="2:23" ht="15.75" x14ac:dyDescent="0.25">
      <c r="K2" s="36"/>
      <c r="L2" s="36"/>
      <c r="M2" s="36"/>
      <c r="O2" s="36"/>
      <c r="P2" s="36"/>
      <c r="Q2" s="204" t="s">
        <v>0</v>
      </c>
      <c r="R2" s="204"/>
      <c r="S2" s="204"/>
      <c r="U2" s="36"/>
      <c r="V2" s="36"/>
    </row>
    <row r="3" spans="2:23" ht="15.75" x14ac:dyDescent="0.25">
      <c r="K3" s="36"/>
      <c r="L3" s="36"/>
      <c r="M3" s="36"/>
      <c r="O3" s="36"/>
      <c r="P3" s="36"/>
      <c r="Q3" s="204" t="s">
        <v>12</v>
      </c>
      <c r="R3" s="204"/>
      <c r="S3" s="204"/>
      <c r="U3" s="36"/>
      <c r="V3" s="36"/>
    </row>
    <row r="4" spans="2:23" ht="15.75" x14ac:dyDescent="0.25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23" ht="15.75" x14ac:dyDescent="0.25">
      <c r="B5" s="1" t="s">
        <v>42</v>
      </c>
      <c r="C5" s="5"/>
      <c r="D5" s="5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9"/>
      <c r="T5" s="389"/>
      <c r="U5" s="37"/>
      <c r="V5" s="37"/>
      <c r="W5" s="37"/>
    </row>
    <row r="6" spans="2:23" ht="25.5" customHeight="1" x14ac:dyDescent="0.25">
      <c r="B6" s="378" t="s">
        <v>14</v>
      </c>
      <c r="C6" s="378"/>
      <c r="D6" s="378"/>
      <c r="E6" s="378"/>
      <c r="F6" s="378"/>
      <c r="G6" s="378"/>
      <c r="H6" s="378"/>
      <c r="I6" s="378"/>
      <c r="J6" s="378"/>
      <c r="K6" s="378" t="s">
        <v>15</v>
      </c>
      <c r="L6" s="378"/>
      <c r="M6" s="378"/>
      <c r="N6" s="378"/>
      <c r="O6" s="378"/>
      <c r="P6" s="378"/>
      <c r="Q6" s="378"/>
      <c r="R6" s="378" t="s">
        <v>43</v>
      </c>
      <c r="S6" s="378"/>
      <c r="T6" s="378"/>
    </row>
    <row r="7" spans="2:23" ht="76.5" customHeight="1" x14ac:dyDescent="0.25">
      <c r="B7" s="200" t="s">
        <v>4</v>
      </c>
      <c r="C7" s="200" t="s">
        <v>114</v>
      </c>
      <c r="D7" s="200" t="s">
        <v>17</v>
      </c>
      <c r="E7" s="96" t="s">
        <v>121</v>
      </c>
      <c r="F7" s="200" t="s">
        <v>18</v>
      </c>
      <c r="G7" s="200" t="s">
        <v>19</v>
      </c>
      <c r="H7" s="200" t="s">
        <v>20</v>
      </c>
      <c r="I7" s="200" t="s">
        <v>44</v>
      </c>
      <c r="J7" s="200" t="s">
        <v>45</v>
      </c>
      <c r="K7" s="200" t="s">
        <v>23</v>
      </c>
      <c r="L7" s="200" t="s">
        <v>24</v>
      </c>
      <c r="M7" s="200" t="s">
        <v>25</v>
      </c>
      <c r="N7" s="200" t="s">
        <v>26</v>
      </c>
      <c r="O7" s="200" t="s">
        <v>27</v>
      </c>
      <c r="P7" s="200" t="s">
        <v>28</v>
      </c>
      <c r="Q7" s="96" t="s">
        <v>122</v>
      </c>
      <c r="R7" s="200" t="s">
        <v>29</v>
      </c>
      <c r="S7" s="200" t="s">
        <v>30</v>
      </c>
      <c r="T7" s="200" t="s">
        <v>31</v>
      </c>
    </row>
    <row r="8" spans="2:23" ht="15.75" customHeight="1" x14ac:dyDescent="0.25">
      <c r="B8" s="97" t="s">
        <v>32</v>
      </c>
      <c r="C8" s="97"/>
      <c r="D8" s="387" t="s">
        <v>655</v>
      </c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</row>
    <row r="9" spans="2:23" ht="15" customHeight="1" x14ac:dyDescent="0.25">
      <c r="B9" s="97" t="s">
        <v>33</v>
      </c>
      <c r="C9" s="97"/>
      <c r="D9" s="387" t="s">
        <v>290</v>
      </c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</row>
    <row r="10" spans="2:23" ht="15" customHeight="1" x14ac:dyDescent="0.25">
      <c r="B10" s="97" t="s">
        <v>6</v>
      </c>
      <c r="C10" s="97"/>
      <c r="D10" s="387" t="s">
        <v>291</v>
      </c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</row>
    <row r="11" spans="2:23" ht="15" customHeight="1" x14ac:dyDescent="0.25">
      <c r="B11" s="98" t="s">
        <v>35</v>
      </c>
      <c r="C11" s="98"/>
      <c r="D11" s="386" t="s">
        <v>292</v>
      </c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</row>
    <row r="12" spans="2:23" ht="27.75" customHeight="1" x14ac:dyDescent="0.25">
      <c r="B12" s="93" t="s">
        <v>36</v>
      </c>
      <c r="C12" s="93"/>
      <c r="D12" s="78" t="s">
        <v>293</v>
      </c>
      <c r="E12" s="54" t="s">
        <v>294</v>
      </c>
      <c r="F12" s="55" t="s">
        <v>295</v>
      </c>
      <c r="G12" s="55" t="s">
        <v>296</v>
      </c>
      <c r="H12" s="55" t="s">
        <v>297</v>
      </c>
      <c r="I12" s="55" t="s">
        <v>298</v>
      </c>
      <c r="J12" s="93"/>
      <c r="K12" s="45">
        <f>SUM(L12:Q12)</f>
        <v>996471.76</v>
      </c>
      <c r="L12" s="45">
        <v>74735.38</v>
      </c>
      <c r="M12" s="45">
        <v>74735.38</v>
      </c>
      <c r="N12" s="45"/>
      <c r="O12" s="45"/>
      <c r="P12" s="45">
        <v>847001</v>
      </c>
      <c r="Q12" s="99"/>
      <c r="R12" s="46">
        <v>42794</v>
      </c>
      <c r="S12" s="46">
        <v>43007</v>
      </c>
      <c r="T12" s="86">
        <f>IF(R12-S12&lt;0,(R12-S12)/30.41667,"–")</f>
        <v>-7.0027389586039499</v>
      </c>
    </row>
    <row r="13" spans="2:23" ht="27" customHeight="1" x14ac:dyDescent="0.25">
      <c r="B13" s="93" t="s">
        <v>37</v>
      </c>
      <c r="C13" s="93"/>
      <c r="D13" s="43" t="s">
        <v>303</v>
      </c>
      <c r="E13" s="54" t="s">
        <v>304</v>
      </c>
      <c r="F13" s="55" t="s">
        <v>295</v>
      </c>
      <c r="G13" s="55" t="s">
        <v>305</v>
      </c>
      <c r="H13" s="55" t="s">
        <v>297</v>
      </c>
      <c r="I13" s="55" t="s">
        <v>298</v>
      </c>
      <c r="J13" s="93"/>
      <c r="K13" s="45">
        <f>SUM(L13:Q13)</f>
        <v>870553</v>
      </c>
      <c r="L13" s="45">
        <v>65292</v>
      </c>
      <c r="M13" s="45">
        <v>65291</v>
      </c>
      <c r="N13" s="45"/>
      <c r="O13" s="45"/>
      <c r="P13" s="45">
        <v>739970</v>
      </c>
      <c r="Q13" s="99"/>
      <c r="R13" s="46">
        <v>42643</v>
      </c>
      <c r="S13" s="46">
        <v>42765</v>
      </c>
      <c r="T13" s="86">
        <f>IF(R13-S13&lt;0,(R13-S13)/30.41667,"–")</f>
        <v>-4.0109584645524974</v>
      </c>
    </row>
    <row r="14" spans="2:23" x14ac:dyDescent="0.25">
      <c r="B14" s="98" t="s">
        <v>38</v>
      </c>
      <c r="C14" s="98"/>
      <c r="D14" s="386" t="s">
        <v>306</v>
      </c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</row>
    <row r="15" spans="2:23" ht="24" x14ac:dyDescent="0.25">
      <c r="B15" s="93" t="s">
        <v>39</v>
      </c>
      <c r="C15" s="93"/>
      <c r="D15" s="47" t="s">
        <v>307</v>
      </c>
      <c r="E15" s="53" t="s">
        <v>308</v>
      </c>
      <c r="F15" s="53" t="s">
        <v>295</v>
      </c>
      <c r="G15" s="53" t="s">
        <v>309</v>
      </c>
      <c r="H15" s="53" t="s">
        <v>310</v>
      </c>
      <c r="I15" s="53" t="s">
        <v>298</v>
      </c>
      <c r="J15" s="53" t="s">
        <v>311</v>
      </c>
      <c r="K15" s="49">
        <f>SUM(L15:Q15)</f>
        <v>511094</v>
      </c>
      <c r="L15" s="49">
        <v>38332</v>
      </c>
      <c r="M15" s="49">
        <v>38332</v>
      </c>
      <c r="N15" s="49"/>
      <c r="O15" s="49"/>
      <c r="P15" s="49">
        <v>434430</v>
      </c>
      <c r="Q15" s="99"/>
      <c r="R15" s="50">
        <v>42734</v>
      </c>
      <c r="S15" s="50">
        <v>42761</v>
      </c>
      <c r="T15" s="86">
        <f>IF(R15-S15&lt;0,(R15-S15)/30.41667,"–")</f>
        <v>-0.88767113559768374</v>
      </c>
    </row>
    <row r="16" spans="2:23" ht="48" x14ac:dyDescent="0.25">
      <c r="B16" s="93" t="s">
        <v>40</v>
      </c>
      <c r="C16" s="93"/>
      <c r="D16" s="47" t="s">
        <v>315</v>
      </c>
      <c r="E16" s="53" t="s">
        <v>308</v>
      </c>
      <c r="F16" s="53" t="s">
        <v>295</v>
      </c>
      <c r="G16" s="53" t="s">
        <v>309</v>
      </c>
      <c r="H16" s="53" t="s">
        <v>310</v>
      </c>
      <c r="I16" s="53" t="s">
        <v>298</v>
      </c>
      <c r="J16" s="53" t="s">
        <v>311</v>
      </c>
      <c r="K16" s="49">
        <f>SUM(L16:Q16)</f>
        <v>406458</v>
      </c>
      <c r="L16" s="49">
        <v>30485</v>
      </c>
      <c r="M16" s="49">
        <v>30484</v>
      </c>
      <c r="N16" s="49"/>
      <c r="O16" s="49"/>
      <c r="P16" s="49">
        <v>345489</v>
      </c>
      <c r="Q16" s="99"/>
      <c r="R16" s="50">
        <v>42734</v>
      </c>
      <c r="S16" s="50">
        <v>42725</v>
      </c>
      <c r="T16" s="86" t="str">
        <f>IF(R16-S16&lt;0,(R16-S16)/30.41667,"–")</f>
        <v>–</v>
      </c>
    </row>
    <row r="17" spans="2:20" ht="15" customHeight="1" x14ac:dyDescent="0.25">
      <c r="B17" s="98" t="s">
        <v>316</v>
      </c>
      <c r="C17" s="100"/>
      <c r="D17" s="388" t="s">
        <v>317</v>
      </c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</row>
    <row r="18" spans="2:20" ht="48" x14ac:dyDescent="0.25">
      <c r="B18" s="93" t="s">
        <v>318</v>
      </c>
      <c r="C18" s="93"/>
      <c r="D18" s="43" t="s">
        <v>319</v>
      </c>
      <c r="E18" s="54" t="s">
        <v>304</v>
      </c>
      <c r="F18" s="55" t="s">
        <v>295</v>
      </c>
      <c r="G18" s="55" t="s">
        <v>320</v>
      </c>
      <c r="H18" s="55" t="s">
        <v>321</v>
      </c>
      <c r="I18" s="55" t="s">
        <v>322</v>
      </c>
      <c r="J18" s="55" t="s">
        <v>311</v>
      </c>
      <c r="K18" s="49">
        <f>SUM(L18:Q18)</f>
        <v>1022250</v>
      </c>
      <c r="L18" s="45">
        <v>76682</v>
      </c>
      <c r="M18" s="45">
        <v>76668</v>
      </c>
      <c r="N18" s="45"/>
      <c r="O18" s="45"/>
      <c r="P18" s="45">
        <v>868900</v>
      </c>
      <c r="Q18" s="99"/>
      <c r="R18" s="46">
        <v>42491</v>
      </c>
      <c r="S18" s="50">
        <v>42523</v>
      </c>
      <c r="T18" s="86">
        <f>IF(R18-S18&lt;0,(R18-S18)/30.41667,"–")</f>
        <v>-1.0520546792268846</v>
      </c>
    </row>
    <row r="19" spans="2:20" ht="15" customHeight="1" x14ac:dyDescent="0.25">
      <c r="B19" s="98" t="s">
        <v>324</v>
      </c>
      <c r="C19" s="100"/>
      <c r="D19" s="388" t="s">
        <v>325</v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</row>
    <row r="20" spans="2:20" ht="24" x14ac:dyDescent="0.25">
      <c r="B20" s="93" t="s">
        <v>326</v>
      </c>
      <c r="C20" s="93"/>
      <c r="D20" s="43" t="s">
        <v>327</v>
      </c>
      <c r="E20" s="54" t="s">
        <v>328</v>
      </c>
      <c r="F20" s="55" t="s">
        <v>295</v>
      </c>
      <c r="G20" s="55" t="s">
        <v>329</v>
      </c>
      <c r="H20" s="55" t="s">
        <v>330</v>
      </c>
      <c r="I20" s="55" t="s">
        <v>298</v>
      </c>
      <c r="J20" s="55" t="s">
        <v>311</v>
      </c>
      <c r="K20" s="49">
        <f>SUM(L20:Q20)</f>
        <v>461773</v>
      </c>
      <c r="L20" s="45">
        <v>34633</v>
      </c>
      <c r="M20" s="45">
        <v>34633</v>
      </c>
      <c r="N20" s="45"/>
      <c r="O20" s="45"/>
      <c r="P20" s="45">
        <v>392507</v>
      </c>
      <c r="Q20" s="99"/>
      <c r="R20" s="46">
        <v>42673</v>
      </c>
      <c r="S20" s="46">
        <v>42674</v>
      </c>
      <c r="T20" s="86">
        <f>IF(R20-S20&lt;0,(R20-S20)/30.41667,"–")</f>
        <v>-3.2876708725840142E-2</v>
      </c>
    </row>
    <row r="21" spans="2:20" ht="15" customHeight="1" x14ac:dyDescent="0.25">
      <c r="B21" s="101" t="s">
        <v>656</v>
      </c>
      <c r="C21" s="102"/>
      <c r="D21" s="392" t="s">
        <v>331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</row>
    <row r="22" spans="2:20" ht="15" customHeight="1" x14ac:dyDescent="0.25">
      <c r="B22" s="98" t="s">
        <v>332</v>
      </c>
      <c r="C22" s="100"/>
      <c r="D22" s="388" t="s">
        <v>333</v>
      </c>
      <c r="E22" s="388"/>
      <c r="F22" s="388"/>
      <c r="G22" s="388"/>
      <c r="H22" s="388"/>
      <c r="I22" s="388"/>
      <c r="J22" s="388"/>
      <c r="K22" s="100">
        <v>3321362</v>
      </c>
      <c r="L22" s="199"/>
      <c r="M22" s="199"/>
      <c r="N22" s="199"/>
      <c r="O22" s="199"/>
      <c r="P22" s="199"/>
      <c r="Q22" s="199"/>
      <c r="R22" s="199"/>
      <c r="S22" s="199"/>
      <c r="T22" s="199"/>
    </row>
    <row r="23" spans="2:20" x14ac:dyDescent="0.25">
      <c r="B23" s="55" t="s">
        <v>660</v>
      </c>
      <c r="C23" s="103"/>
      <c r="D23" s="104"/>
      <c r="E23" s="104"/>
      <c r="F23" s="104"/>
      <c r="G23" s="104"/>
      <c r="H23" s="104"/>
      <c r="I23" s="104"/>
      <c r="J23" s="104"/>
      <c r="K23" s="216"/>
      <c r="L23" s="104"/>
      <c r="M23" s="104"/>
      <c r="N23" s="104"/>
      <c r="O23" s="104"/>
      <c r="P23" s="104"/>
      <c r="Q23" s="104"/>
      <c r="R23" s="104"/>
      <c r="S23" s="104"/>
      <c r="T23" s="104"/>
    </row>
    <row r="24" spans="2:20" x14ac:dyDescent="0.25">
      <c r="B24" s="101" t="s">
        <v>657</v>
      </c>
      <c r="C24" s="102"/>
      <c r="D24" s="390" t="s">
        <v>335</v>
      </c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</row>
    <row r="25" spans="2:20" x14ac:dyDescent="0.25">
      <c r="B25" s="101" t="s">
        <v>658</v>
      </c>
      <c r="C25" s="102"/>
      <c r="D25" s="390" t="s">
        <v>336</v>
      </c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</row>
    <row r="26" spans="2:20" x14ac:dyDescent="0.25">
      <c r="B26" s="105" t="s">
        <v>337</v>
      </c>
      <c r="C26" s="100"/>
      <c r="D26" s="391" t="s">
        <v>338</v>
      </c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</row>
    <row r="27" spans="2:20" ht="24" x14ac:dyDescent="0.25">
      <c r="B27" s="92" t="s">
        <v>339</v>
      </c>
      <c r="C27" s="93"/>
      <c r="D27" s="78" t="s">
        <v>340</v>
      </c>
      <c r="E27" s="54" t="s">
        <v>294</v>
      </c>
      <c r="F27" s="55" t="s">
        <v>341</v>
      </c>
      <c r="G27" s="55" t="s">
        <v>342</v>
      </c>
      <c r="H27" s="55" t="s">
        <v>343</v>
      </c>
      <c r="I27" s="55" t="s">
        <v>298</v>
      </c>
      <c r="J27" s="55"/>
      <c r="K27" s="49">
        <f>SUM(L27:Q27)</f>
        <v>822057.65</v>
      </c>
      <c r="L27" s="45">
        <v>123308.65</v>
      </c>
      <c r="M27" s="45"/>
      <c r="N27" s="45"/>
      <c r="O27" s="45"/>
      <c r="P27" s="45">
        <v>698749</v>
      </c>
      <c r="Q27" s="99"/>
      <c r="R27" s="46">
        <v>42855</v>
      </c>
      <c r="S27" s="46">
        <v>42915</v>
      </c>
      <c r="T27" s="86">
        <f>IF(R27-S27&lt;0,(R27-S27)/30.41667,"–")</f>
        <v>-1.9726025235504083</v>
      </c>
    </row>
    <row r="28" spans="2:20" ht="24" x14ac:dyDescent="0.25">
      <c r="B28" s="92" t="s">
        <v>347</v>
      </c>
      <c r="C28" s="93"/>
      <c r="D28" s="43" t="s">
        <v>348</v>
      </c>
      <c r="E28" s="54" t="s">
        <v>308</v>
      </c>
      <c r="F28" s="55" t="s">
        <v>341</v>
      </c>
      <c r="G28" s="55" t="s">
        <v>349</v>
      </c>
      <c r="H28" s="55" t="s">
        <v>343</v>
      </c>
      <c r="I28" s="55" t="s">
        <v>298</v>
      </c>
      <c r="J28" s="55" t="s">
        <v>311</v>
      </c>
      <c r="K28" s="49">
        <f t="shared" ref="K28:K41" si="0">SUM(L28:Q28)</f>
        <v>336192.2</v>
      </c>
      <c r="L28" s="45">
        <v>43873.7</v>
      </c>
      <c r="M28" s="45"/>
      <c r="N28" s="45"/>
      <c r="O28" s="45">
        <v>23701.5</v>
      </c>
      <c r="P28" s="45">
        <v>268617</v>
      </c>
      <c r="Q28" s="99"/>
      <c r="R28" s="46">
        <v>42766</v>
      </c>
      <c r="S28" s="46">
        <v>43026</v>
      </c>
      <c r="T28" s="86">
        <f>IF(R28-S28&lt;0,(R28-S28)/30.41667,"–")</f>
        <v>-8.547944268718437</v>
      </c>
    </row>
    <row r="29" spans="2:20" ht="24" x14ac:dyDescent="0.25">
      <c r="B29" s="92" t="s">
        <v>354</v>
      </c>
      <c r="C29" s="93"/>
      <c r="D29" s="78" t="s">
        <v>355</v>
      </c>
      <c r="E29" s="54" t="s">
        <v>328</v>
      </c>
      <c r="F29" s="55" t="s">
        <v>341</v>
      </c>
      <c r="G29" s="55" t="s">
        <v>356</v>
      </c>
      <c r="H29" s="55" t="s">
        <v>343</v>
      </c>
      <c r="I29" s="55" t="s">
        <v>298</v>
      </c>
      <c r="J29" s="55" t="s">
        <v>311</v>
      </c>
      <c r="K29" s="49">
        <f t="shared" si="0"/>
        <v>794019</v>
      </c>
      <c r="L29" s="45">
        <v>59552</v>
      </c>
      <c r="M29" s="45"/>
      <c r="N29" s="45"/>
      <c r="O29" s="45">
        <v>59551</v>
      </c>
      <c r="P29" s="45">
        <v>674916</v>
      </c>
      <c r="Q29" s="99"/>
      <c r="R29" s="46">
        <v>42947</v>
      </c>
      <c r="S29" s="46">
        <v>42947</v>
      </c>
      <c r="T29" s="86" t="str">
        <f>IF(R29-S29&lt;0,(R29-S29)/30.41667,"–")</f>
        <v>–</v>
      </c>
    </row>
    <row r="30" spans="2:20" ht="24" x14ac:dyDescent="0.25">
      <c r="B30" s="92" t="s">
        <v>357</v>
      </c>
      <c r="C30" s="93"/>
      <c r="D30" s="43" t="s">
        <v>358</v>
      </c>
      <c r="E30" s="54" t="s">
        <v>328</v>
      </c>
      <c r="F30" s="55" t="s">
        <v>341</v>
      </c>
      <c r="G30" s="55" t="s">
        <v>356</v>
      </c>
      <c r="H30" s="55" t="s">
        <v>343</v>
      </c>
      <c r="I30" s="55" t="s">
        <v>298</v>
      </c>
      <c r="J30" s="55" t="s">
        <v>311</v>
      </c>
      <c r="K30" s="49">
        <f t="shared" si="0"/>
        <v>194118</v>
      </c>
      <c r="L30" s="45">
        <v>64860</v>
      </c>
      <c r="M30" s="45"/>
      <c r="N30" s="45"/>
      <c r="O30" s="45">
        <v>14558</v>
      </c>
      <c r="P30" s="45">
        <v>114700</v>
      </c>
      <c r="Q30" s="99"/>
      <c r="R30" s="46">
        <v>43374</v>
      </c>
      <c r="S30" s="46"/>
      <c r="T30" s="86"/>
    </row>
    <row r="31" spans="2:20" ht="24" x14ac:dyDescent="0.25">
      <c r="B31" s="92" t="s">
        <v>359</v>
      </c>
      <c r="C31" s="93"/>
      <c r="D31" s="78" t="s">
        <v>360</v>
      </c>
      <c r="E31" s="54" t="s">
        <v>304</v>
      </c>
      <c r="F31" s="55" t="s">
        <v>341</v>
      </c>
      <c r="G31" s="55" t="s">
        <v>320</v>
      </c>
      <c r="H31" s="55" t="s">
        <v>343</v>
      </c>
      <c r="I31" s="55" t="s">
        <v>298</v>
      </c>
      <c r="J31" s="55" t="s">
        <v>311</v>
      </c>
      <c r="K31" s="45">
        <f t="shared" si="0"/>
        <v>1866751.15</v>
      </c>
      <c r="L31" s="45">
        <v>678877.04</v>
      </c>
      <c r="M31" s="45"/>
      <c r="N31" s="45"/>
      <c r="O31" s="45">
        <v>96314.11</v>
      </c>
      <c r="P31" s="45">
        <v>1091560</v>
      </c>
      <c r="Q31" s="99"/>
      <c r="R31" s="46">
        <v>42824</v>
      </c>
      <c r="S31" s="46">
        <v>42822</v>
      </c>
      <c r="T31" s="86" t="str">
        <f>IF(R31-S31&lt;0,(R31-S31)/30.41667,"–")</f>
        <v>–</v>
      </c>
    </row>
    <row r="32" spans="2:20" ht="15" customHeight="1" x14ac:dyDescent="0.25">
      <c r="B32" s="105" t="s">
        <v>361</v>
      </c>
      <c r="C32" s="100"/>
      <c r="D32" s="388" t="s">
        <v>362</v>
      </c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</row>
    <row r="33" spans="2:20" ht="24" x14ac:dyDescent="0.25">
      <c r="B33" s="92" t="s">
        <v>363</v>
      </c>
      <c r="C33" s="93"/>
      <c r="D33" s="43" t="s">
        <v>364</v>
      </c>
      <c r="E33" s="54" t="s">
        <v>304</v>
      </c>
      <c r="F33" s="55" t="s">
        <v>341</v>
      </c>
      <c r="G33" s="55" t="s">
        <v>320</v>
      </c>
      <c r="H33" s="55" t="s">
        <v>365</v>
      </c>
      <c r="I33" s="55" t="s">
        <v>298</v>
      </c>
      <c r="J33" s="55" t="s">
        <v>311</v>
      </c>
      <c r="K33" s="45">
        <f t="shared" si="0"/>
        <v>1277647</v>
      </c>
      <c r="L33" s="45">
        <v>191647</v>
      </c>
      <c r="M33" s="45"/>
      <c r="N33" s="45"/>
      <c r="O33" s="45"/>
      <c r="P33" s="45">
        <v>1086000</v>
      </c>
      <c r="Q33" s="99"/>
      <c r="R33" s="46">
        <v>43374</v>
      </c>
      <c r="S33" s="106"/>
      <c r="T33" s="86"/>
    </row>
    <row r="34" spans="2:20" ht="24" x14ac:dyDescent="0.25">
      <c r="B34" s="92" t="s">
        <v>369</v>
      </c>
      <c r="C34" s="93"/>
      <c r="D34" s="43" t="s">
        <v>370</v>
      </c>
      <c r="E34" s="54" t="s">
        <v>304</v>
      </c>
      <c r="F34" s="55" t="s">
        <v>341</v>
      </c>
      <c r="G34" s="55" t="s">
        <v>320</v>
      </c>
      <c r="H34" s="55" t="s">
        <v>371</v>
      </c>
      <c r="I34" s="55" t="s">
        <v>322</v>
      </c>
      <c r="J34" s="55" t="s">
        <v>311</v>
      </c>
      <c r="K34" s="45">
        <f t="shared" si="0"/>
        <v>11900</v>
      </c>
      <c r="L34" s="45">
        <v>1785</v>
      </c>
      <c r="M34" s="45"/>
      <c r="N34" s="45"/>
      <c r="O34" s="45"/>
      <c r="P34" s="45">
        <v>10115</v>
      </c>
      <c r="Q34" s="99"/>
      <c r="R34" s="46">
        <v>42705</v>
      </c>
      <c r="S34" s="46">
        <v>42692</v>
      </c>
      <c r="T34" s="86" t="str">
        <f>IF(R34-S34&lt;0,(R34-S34)/30.41667,"–")</f>
        <v>–</v>
      </c>
    </row>
    <row r="35" spans="2:20" ht="15" customHeight="1" x14ac:dyDescent="0.25">
      <c r="B35" s="105" t="s">
        <v>374</v>
      </c>
      <c r="C35" s="98"/>
      <c r="D35" s="388" t="s">
        <v>375</v>
      </c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</row>
    <row r="36" spans="2:20" ht="24" x14ac:dyDescent="0.25">
      <c r="B36" s="92" t="s">
        <v>376</v>
      </c>
      <c r="C36" s="93"/>
      <c r="D36" s="43" t="s">
        <v>377</v>
      </c>
      <c r="E36" s="54" t="s">
        <v>294</v>
      </c>
      <c r="F36" s="55" t="s">
        <v>341</v>
      </c>
      <c r="G36" s="55" t="s">
        <v>378</v>
      </c>
      <c r="H36" s="55" t="s">
        <v>379</v>
      </c>
      <c r="I36" s="55" t="s">
        <v>298</v>
      </c>
      <c r="J36" s="55"/>
      <c r="K36" s="45">
        <f t="shared" si="0"/>
        <v>83796.47</v>
      </c>
      <c r="L36" s="45">
        <v>12569.47</v>
      </c>
      <c r="M36" s="45"/>
      <c r="N36" s="45"/>
      <c r="O36" s="45"/>
      <c r="P36" s="45">
        <v>71227</v>
      </c>
      <c r="Q36" s="99"/>
      <c r="R36" s="46">
        <v>42977</v>
      </c>
      <c r="S36" s="46">
        <v>43084</v>
      </c>
      <c r="T36" s="86">
        <f>IF(R36-S36&lt;0,(R36-S36)/30.41667,"–")</f>
        <v>-3.5178078336648948</v>
      </c>
    </row>
    <row r="37" spans="2:20" ht="24" x14ac:dyDescent="0.25">
      <c r="B37" s="92" t="s">
        <v>382</v>
      </c>
      <c r="C37" s="93"/>
      <c r="D37" s="43" t="s">
        <v>383</v>
      </c>
      <c r="E37" s="54" t="s">
        <v>308</v>
      </c>
      <c r="F37" s="55" t="s">
        <v>341</v>
      </c>
      <c r="G37" s="55" t="s">
        <v>349</v>
      </c>
      <c r="H37" s="55" t="s">
        <v>379</v>
      </c>
      <c r="I37" s="55" t="s">
        <v>298</v>
      </c>
      <c r="J37" s="55" t="s">
        <v>311</v>
      </c>
      <c r="K37" s="45">
        <f t="shared" si="0"/>
        <v>34280.82</v>
      </c>
      <c r="L37" s="45">
        <v>6898.82</v>
      </c>
      <c r="M37" s="45"/>
      <c r="N37" s="45"/>
      <c r="O37" s="45"/>
      <c r="P37" s="45">
        <v>27382</v>
      </c>
      <c r="Q37" s="99"/>
      <c r="R37" s="46">
        <v>42886</v>
      </c>
      <c r="S37" s="46">
        <v>43026</v>
      </c>
      <c r="T37" s="86">
        <f>IF(R37-S37&lt;0,(R37-S37)/30.41667,"–")</f>
        <v>-4.6027392216176199</v>
      </c>
    </row>
    <row r="38" spans="2:20" ht="24" x14ac:dyDescent="0.25">
      <c r="B38" s="92" t="s">
        <v>386</v>
      </c>
      <c r="C38" s="93"/>
      <c r="D38" s="43" t="s">
        <v>387</v>
      </c>
      <c r="E38" s="54" t="s">
        <v>328</v>
      </c>
      <c r="F38" s="55" t="s">
        <v>341</v>
      </c>
      <c r="G38" s="55" t="s">
        <v>356</v>
      </c>
      <c r="H38" s="55" t="s">
        <v>379</v>
      </c>
      <c r="I38" s="55" t="s">
        <v>298</v>
      </c>
      <c r="J38" s="55" t="s">
        <v>311</v>
      </c>
      <c r="K38" s="45">
        <f t="shared" si="0"/>
        <v>100770</v>
      </c>
      <c r="L38" s="45">
        <v>20280</v>
      </c>
      <c r="M38" s="45"/>
      <c r="N38" s="45"/>
      <c r="O38" s="45"/>
      <c r="P38" s="45">
        <v>80490</v>
      </c>
      <c r="Q38" s="99"/>
      <c r="R38" s="46">
        <v>43554</v>
      </c>
      <c r="S38" s="46"/>
      <c r="T38" s="86"/>
    </row>
    <row r="39" spans="2:20" ht="24" x14ac:dyDescent="0.25">
      <c r="B39" s="92" t="s">
        <v>388</v>
      </c>
      <c r="C39" s="93"/>
      <c r="D39" s="43" t="s">
        <v>389</v>
      </c>
      <c r="E39" s="54" t="s">
        <v>304</v>
      </c>
      <c r="F39" s="55" t="s">
        <v>341</v>
      </c>
      <c r="G39" s="55" t="s">
        <v>390</v>
      </c>
      <c r="H39" s="55" t="s">
        <v>379</v>
      </c>
      <c r="I39" s="55" t="s">
        <v>298</v>
      </c>
      <c r="J39" s="55"/>
      <c r="K39" s="45">
        <f t="shared" si="0"/>
        <v>139304.47</v>
      </c>
      <c r="L39" s="45">
        <v>28035.47</v>
      </c>
      <c r="M39" s="45"/>
      <c r="N39" s="45"/>
      <c r="O39" s="45"/>
      <c r="P39" s="45">
        <v>111269</v>
      </c>
      <c r="Q39" s="99"/>
      <c r="R39" s="46">
        <v>42886</v>
      </c>
      <c r="S39" s="46">
        <v>42853</v>
      </c>
      <c r="T39" s="86" t="str">
        <f>IF(R39-S39&lt;0,(R39-S39)/30.41667,"–")</f>
        <v>–</v>
      </c>
    </row>
    <row r="40" spans="2:20" ht="15" customHeight="1" x14ac:dyDescent="0.25">
      <c r="B40" s="105" t="s">
        <v>391</v>
      </c>
      <c r="C40" s="100"/>
      <c r="D40" s="393" t="s">
        <v>392</v>
      </c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</row>
    <row r="41" spans="2:20" ht="24" x14ac:dyDescent="0.25">
      <c r="B41" s="92" t="s">
        <v>393</v>
      </c>
      <c r="C41" s="93"/>
      <c r="D41" s="43" t="s">
        <v>394</v>
      </c>
      <c r="E41" s="54" t="s">
        <v>304</v>
      </c>
      <c r="F41" s="55" t="s">
        <v>341</v>
      </c>
      <c r="G41" s="55" t="s">
        <v>320</v>
      </c>
      <c r="H41" s="55" t="s">
        <v>395</v>
      </c>
      <c r="I41" s="55" t="s">
        <v>298</v>
      </c>
      <c r="J41" s="55" t="s">
        <v>311</v>
      </c>
      <c r="K41" s="45">
        <f t="shared" si="0"/>
        <v>798964</v>
      </c>
      <c r="L41" s="45">
        <v>119845</v>
      </c>
      <c r="M41" s="45"/>
      <c r="N41" s="45"/>
      <c r="O41" s="45"/>
      <c r="P41" s="45">
        <v>679119</v>
      </c>
      <c r="Q41" s="99"/>
      <c r="R41" s="46">
        <v>43008</v>
      </c>
      <c r="S41" s="46">
        <v>43179</v>
      </c>
      <c r="T41" s="86">
        <f>IF(R41-S41&lt;0,(R41-S41)/30.41667,"–")</f>
        <v>-5.6219171921186639</v>
      </c>
    </row>
    <row r="42" spans="2:20" x14ac:dyDescent="0.25">
      <c r="B42" s="101" t="s">
        <v>662</v>
      </c>
      <c r="C42" s="102"/>
      <c r="D42" s="390" t="s">
        <v>398</v>
      </c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</row>
    <row r="43" spans="2:20" x14ac:dyDescent="0.25">
      <c r="B43" s="105" t="s">
        <v>399</v>
      </c>
      <c r="C43" s="100"/>
      <c r="D43" s="391" t="s">
        <v>400</v>
      </c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</row>
    <row r="44" spans="2:20" ht="24" x14ac:dyDescent="0.25">
      <c r="B44" s="92" t="s">
        <v>401</v>
      </c>
      <c r="C44" s="93"/>
      <c r="D44" s="77" t="s">
        <v>402</v>
      </c>
      <c r="E44" s="55" t="s">
        <v>304</v>
      </c>
      <c r="F44" s="55" t="s">
        <v>403</v>
      </c>
      <c r="G44" s="55" t="s">
        <v>320</v>
      </c>
      <c r="H44" s="54" t="s">
        <v>404</v>
      </c>
      <c r="I44" s="55" t="s">
        <v>298</v>
      </c>
      <c r="J44" s="55" t="s">
        <v>311</v>
      </c>
      <c r="K44" s="45">
        <f t="shared" ref="K44:K50" si="1">SUM(L44:Q44)</f>
        <v>588358</v>
      </c>
      <c r="L44" s="45">
        <v>88253.84</v>
      </c>
      <c r="M44" s="45"/>
      <c r="N44" s="45"/>
      <c r="O44" s="45"/>
      <c r="P44" s="45">
        <v>500104.16</v>
      </c>
      <c r="Q44" s="99"/>
      <c r="R44" s="290">
        <v>42734</v>
      </c>
      <c r="S44" s="46">
        <v>42734</v>
      </c>
      <c r="T44" s="86" t="str">
        <f>IF(R44-S44&lt;0,(R44-S44)/30.41667,"–")</f>
        <v>–</v>
      </c>
    </row>
    <row r="45" spans="2:20" ht="24" x14ac:dyDescent="0.25">
      <c r="B45" s="92" t="s">
        <v>407</v>
      </c>
      <c r="C45" s="93"/>
      <c r="D45" s="48" t="s">
        <v>408</v>
      </c>
      <c r="E45" s="53" t="s">
        <v>328</v>
      </c>
      <c r="F45" s="53" t="s">
        <v>403</v>
      </c>
      <c r="G45" s="53" t="s">
        <v>356</v>
      </c>
      <c r="H45" s="53" t="s">
        <v>404</v>
      </c>
      <c r="I45" s="53" t="s">
        <v>298</v>
      </c>
      <c r="J45" s="53" t="s">
        <v>311</v>
      </c>
      <c r="K45" s="45">
        <f t="shared" si="1"/>
        <v>515526.52</v>
      </c>
      <c r="L45" s="49">
        <v>97732.29</v>
      </c>
      <c r="M45" s="49"/>
      <c r="N45" s="49"/>
      <c r="O45" s="49">
        <v>226000</v>
      </c>
      <c r="P45" s="49">
        <v>191794.23</v>
      </c>
      <c r="Q45" s="99"/>
      <c r="R45" s="295">
        <v>42734</v>
      </c>
      <c r="S45" s="46">
        <v>42719</v>
      </c>
      <c r="T45" s="86" t="str">
        <f>IF(R45-S45&lt;0,(R45-S45)/30.41667,"–")</f>
        <v>–</v>
      </c>
    </row>
    <row r="46" spans="2:20" x14ac:dyDescent="0.25">
      <c r="B46" s="105" t="s">
        <v>409</v>
      </c>
      <c r="C46" s="100"/>
      <c r="D46" s="391" t="s">
        <v>410</v>
      </c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</row>
    <row r="47" spans="2:20" ht="72" x14ac:dyDescent="0.25">
      <c r="B47" s="92" t="s">
        <v>411</v>
      </c>
      <c r="C47" s="93"/>
      <c r="D47" s="44" t="s">
        <v>412</v>
      </c>
      <c r="E47" s="54" t="s">
        <v>304</v>
      </c>
      <c r="F47" s="54" t="s">
        <v>403</v>
      </c>
      <c r="G47" s="54" t="s">
        <v>320</v>
      </c>
      <c r="H47" s="55" t="s">
        <v>413</v>
      </c>
      <c r="I47" s="54" t="s">
        <v>298</v>
      </c>
      <c r="J47" s="54" t="s">
        <v>311</v>
      </c>
      <c r="K47" s="45">
        <f t="shared" si="1"/>
        <v>464475</v>
      </c>
      <c r="L47" s="60">
        <v>69671</v>
      </c>
      <c r="M47" s="60"/>
      <c r="N47" s="60"/>
      <c r="O47" s="60"/>
      <c r="P47" s="60">
        <v>394804</v>
      </c>
      <c r="Q47" s="99"/>
      <c r="R47" s="61">
        <v>42794</v>
      </c>
      <c r="S47" s="46">
        <v>42793</v>
      </c>
      <c r="T47" s="86" t="str">
        <f>IF(R47-S47&lt;0,(R47-S47)/30.41667,"–")</f>
        <v>–</v>
      </c>
    </row>
    <row r="48" spans="2:20" ht="36" x14ac:dyDescent="0.25">
      <c r="B48" s="92" t="s">
        <v>418</v>
      </c>
      <c r="C48" s="93"/>
      <c r="D48" s="51" t="s">
        <v>419</v>
      </c>
      <c r="E48" s="55" t="s">
        <v>294</v>
      </c>
      <c r="F48" s="55" t="s">
        <v>403</v>
      </c>
      <c r="G48" s="55" t="s">
        <v>420</v>
      </c>
      <c r="H48" s="55" t="s">
        <v>413</v>
      </c>
      <c r="I48" s="55" t="s">
        <v>298</v>
      </c>
      <c r="J48" s="55"/>
      <c r="K48" s="45">
        <f t="shared" si="1"/>
        <v>297327.13</v>
      </c>
      <c r="L48" s="45">
        <v>44599.07</v>
      </c>
      <c r="M48" s="45"/>
      <c r="N48" s="45"/>
      <c r="O48" s="45"/>
      <c r="P48" s="45">
        <v>252728.06</v>
      </c>
      <c r="Q48" s="99"/>
      <c r="R48" s="46">
        <v>42824</v>
      </c>
      <c r="S48" s="46">
        <v>42919</v>
      </c>
      <c r="T48" s="86">
        <f>IF(R48-S48&lt;0,(R48-S48)/30.41667,"–")</f>
        <v>-3.1232873289548131</v>
      </c>
    </row>
    <row r="49" spans="2:20" ht="48" x14ac:dyDescent="0.25">
      <c r="B49" s="92" t="s">
        <v>421</v>
      </c>
      <c r="C49" s="93"/>
      <c r="D49" s="51" t="s">
        <v>422</v>
      </c>
      <c r="E49" s="55" t="s">
        <v>308</v>
      </c>
      <c r="F49" s="55" t="s">
        <v>403</v>
      </c>
      <c r="G49" s="55" t="s">
        <v>309</v>
      </c>
      <c r="H49" s="55" t="s">
        <v>413</v>
      </c>
      <c r="I49" s="55" t="s">
        <v>298</v>
      </c>
      <c r="J49" s="55" t="s">
        <v>311</v>
      </c>
      <c r="K49" s="45">
        <f t="shared" si="1"/>
        <v>114301</v>
      </c>
      <c r="L49" s="45">
        <v>17146</v>
      </c>
      <c r="M49" s="45"/>
      <c r="N49" s="45"/>
      <c r="O49" s="45"/>
      <c r="P49" s="45">
        <v>97155</v>
      </c>
      <c r="Q49" s="99"/>
      <c r="R49" s="290">
        <v>42794</v>
      </c>
      <c r="S49" s="46">
        <v>42891</v>
      </c>
      <c r="T49" s="86">
        <f>IF(R49-S49&lt;0,(R49-S49)/30.41667,"–")</f>
        <v>-3.1890407464064934</v>
      </c>
    </row>
    <row r="50" spans="2:20" ht="24" x14ac:dyDescent="0.25">
      <c r="B50" s="92" t="s">
        <v>424</v>
      </c>
      <c r="C50" s="93"/>
      <c r="D50" s="51" t="s">
        <v>425</v>
      </c>
      <c r="E50" s="55" t="s">
        <v>328</v>
      </c>
      <c r="F50" s="55" t="s">
        <v>403</v>
      </c>
      <c r="G50" s="55" t="s">
        <v>426</v>
      </c>
      <c r="H50" s="55" t="s">
        <v>413</v>
      </c>
      <c r="I50" s="55" t="s">
        <v>298</v>
      </c>
      <c r="J50" s="55"/>
      <c r="K50" s="45">
        <f t="shared" si="1"/>
        <v>335993</v>
      </c>
      <c r="L50" s="45">
        <v>50398.95</v>
      </c>
      <c r="M50" s="45"/>
      <c r="N50" s="45"/>
      <c r="O50" s="45"/>
      <c r="P50" s="49">
        <v>285594.05</v>
      </c>
      <c r="Q50" s="99"/>
      <c r="R50" s="290">
        <v>43189</v>
      </c>
      <c r="S50" s="46">
        <v>43187</v>
      </c>
      <c r="T50" s="86" t="str">
        <f>IF(R50-S50&lt;0,(R50-S50)/30.41667,"–")</f>
        <v>–</v>
      </c>
    </row>
    <row r="51" spans="2:20" x14ac:dyDescent="0.25">
      <c r="B51" s="101" t="s">
        <v>663</v>
      </c>
      <c r="C51" s="102"/>
      <c r="D51" s="390" t="s">
        <v>427</v>
      </c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</row>
    <row r="52" spans="2:20" x14ac:dyDescent="0.25">
      <c r="B52" s="105" t="s">
        <v>428</v>
      </c>
      <c r="C52" s="100"/>
      <c r="D52" s="391" t="s">
        <v>429</v>
      </c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</row>
    <row r="53" spans="2:20" ht="36" x14ac:dyDescent="0.25">
      <c r="B53" s="92" t="s">
        <v>430</v>
      </c>
      <c r="C53" s="93"/>
      <c r="D53" s="76" t="s">
        <v>431</v>
      </c>
      <c r="E53" s="54" t="s">
        <v>328</v>
      </c>
      <c r="F53" s="54" t="s">
        <v>432</v>
      </c>
      <c r="G53" s="54" t="s">
        <v>433</v>
      </c>
      <c r="H53" s="54" t="s">
        <v>434</v>
      </c>
      <c r="I53" s="54" t="s">
        <v>298</v>
      </c>
      <c r="J53" s="54"/>
      <c r="K53" s="45">
        <f t="shared" ref="K53" si="2">SUM(L53:Q53)</f>
        <v>466925.52</v>
      </c>
      <c r="L53" s="60">
        <v>70038.83</v>
      </c>
      <c r="M53" s="45"/>
      <c r="N53" s="45"/>
      <c r="O53" s="45"/>
      <c r="P53" s="60">
        <v>396886.69</v>
      </c>
      <c r="Q53" s="99"/>
      <c r="R53" s="50">
        <v>42855</v>
      </c>
      <c r="S53" s="46">
        <v>42830</v>
      </c>
      <c r="T53" s="86" t="str">
        <f>IF(R53-S53&lt;0,(R53-S53)/30.41667,"–")</f>
        <v>–</v>
      </c>
    </row>
    <row r="54" spans="2:20" ht="15" customHeight="1" x14ac:dyDescent="0.25">
      <c r="B54" s="101" t="s">
        <v>664</v>
      </c>
      <c r="C54" s="102"/>
      <c r="D54" s="387" t="s">
        <v>659</v>
      </c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</row>
    <row r="55" spans="2:20" ht="15" customHeight="1" x14ac:dyDescent="0.25">
      <c r="B55" s="101" t="s">
        <v>665</v>
      </c>
      <c r="C55" s="102"/>
      <c r="D55" s="387" t="s">
        <v>437</v>
      </c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</row>
    <row r="56" spans="2:20" ht="15" customHeight="1" x14ac:dyDescent="0.25">
      <c r="B56" s="101" t="s">
        <v>666</v>
      </c>
      <c r="C56" s="102"/>
      <c r="D56" s="387" t="s">
        <v>438</v>
      </c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</row>
    <row r="57" spans="2:20" ht="15" customHeight="1" x14ac:dyDescent="0.25">
      <c r="B57" s="105" t="s">
        <v>439</v>
      </c>
      <c r="C57" s="100"/>
      <c r="D57" s="386" t="s">
        <v>440</v>
      </c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</row>
    <row r="58" spans="2:20" ht="36" x14ac:dyDescent="0.25">
      <c r="B58" s="92" t="s">
        <v>441</v>
      </c>
      <c r="C58" s="93"/>
      <c r="D58" s="75" t="s">
        <v>442</v>
      </c>
      <c r="E58" s="55" t="s">
        <v>294</v>
      </c>
      <c r="F58" s="55" t="s">
        <v>443</v>
      </c>
      <c r="G58" s="55" t="s">
        <v>444</v>
      </c>
      <c r="H58" s="54" t="s">
        <v>445</v>
      </c>
      <c r="I58" s="55" t="s">
        <v>298</v>
      </c>
      <c r="J58" s="55"/>
      <c r="K58" s="45">
        <f t="shared" ref="K58:K70" si="3">SUM(L58:Q58)</f>
        <v>348722.37</v>
      </c>
      <c r="L58" s="49">
        <v>26154.19</v>
      </c>
      <c r="M58" s="49">
        <v>26154.18</v>
      </c>
      <c r="N58" s="62"/>
      <c r="O58" s="45"/>
      <c r="P58" s="45">
        <v>296414</v>
      </c>
      <c r="Q58" s="99"/>
      <c r="R58" s="46">
        <v>43008</v>
      </c>
      <c r="S58" s="46">
        <v>42992</v>
      </c>
      <c r="T58" s="86" t="str">
        <f>IF(R58-S58&lt;0,(R58-S58)/30.41667,"–")</f>
        <v>–</v>
      </c>
    </row>
    <row r="59" spans="2:20" ht="24" x14ac:dyDescent="0.25">
      <c r="B59" s="92" t="s">
        <v>450</v>
      </c>
      <c r="C59" s="93"/>
      <c r="D59" s="75" t="s">
        <v>451</v>
      </c>
      <c r="E59" s="55" t="s">
        <v>308</v>
      </c>
      <c r="F59" s="55" t="s">
        <v>443</v>
      </c>
      <c r="G59" s="55" t="s">
        <v>349</v>
      </c>
      <c r="H59" s="54" t="s">
        <v>445</v>
      </c>
      <c r="I59" s="55" t="s">
        <v>298</v>
      </c>
      <c r="J59" s="55"/>
      <c r="K59" s="45">
        <f t="shared" si="3"/>
        <v>134057.64705882352</v>
      </c>
      <c r="L59" s="49">
        <f>P59*15/85/2</f>
        <v>10054.323529411764</v>
      </c>
      <c r="M59" s="49">
        <f>L59</f>
        <v>10054.323529411764</v>
      </c>
      <c r="N59" s="62"/>
      <c r="O59" s="45"/>
      <c r="P59" s="45">
        <v>113949</v>
      </c>
      <c r="Q59" s="99"/>
      <c r="R59" s="46">
        <v>42979</v>
      </c>
      <c r="S59" s="46">
        <v>42972</v>
      </c>
      <c r="T59" s="86" t="str">
        <f>IF(R59-S59&lt;0,(R59-S59)/30.41667,"–")</f>
        <v>–</v>
      </c>
    </row>
    <row r="60" spans="2:20" ht="24" x14ac:dyDescent="0.25">
      <c r="B60" s="92" t="s">
        <v>452</v>
      </c>
      <c r="C60" s="93"/>
      <c r="D60" s="75" t="s">
        <v>453</v>
      </c>
      <c r="E60" s="55" t="s">
        <v>328</v>
      </c>
      <c r="F60" s="55" t="s">
        <v>443</v>
      </c>
      <c r="G60" s="55" t="s">
        <v>356</v>
      </c>
      <c r="H60" s="54" t="s">
        <v>445</v>
      </c>
      <c r="I60" s="55" t="s">
        <v>298</v>
      </c>
      <c r="J60" s="55"/>
      <c r="K60" s="45">
        <f t="shared" si="3"/>
        <v>394072</v>
      </c>
      <c r="L60" s="49">
        <v>29556</v>
      </c>
      <c r="M60" s="49">
        <v>29555</v>
      </c>
      <c r="N60" s="45"/>
      <c r="O60" s="45"/>
      <c r="P60" s="45">
        <v>334961</v>
      </c>
      <c r="Q60" s="99"/>
      <c r="R60" s="46">
        <v>43008</v>
      </c>
      <c r="S60" s="46">
        <v>43006</v>
      </c>
      <c r="T60" s="86" t="str">
        <f>IF(R60-S60&lt;0,(R60-S60)/30.41667,"–")</f>
        <v>–</v>
      </c>
    </row>
    <row r="61" spans="2:20" ht="24" x14ac:dyDescent="0.25">
      <c r="B61" s="92" t="s">
        <v>456</v>
      </c>
      <c r="C61" s="93"/>
      <c r="D61" s="75" t="s">
        <v>457</v>
      </c>
      <c r="E61" s="55" t="s">
        <v>304</v>
      </c>
      <c r="F61" s="55" t="s">
        <v>443</v>
      </c>
      <c r="G61" s="55" t="s">
        <v>320</v>
      </c>
      <c r="H61" s="54" t="s">
        <v>445</v>
      </c>
      <c r="I61" s="55" t="s">
        <v>298</v>
      </c>
      <c r="J61" s="55"/>
      <c r="K61" s="45">
        <f t="shared" si="3"/>
        <v>544762.36</v>
      </c>
      <c r="L61" s="49">
        <v>40857.18</v>
      </c>
      <c r="M61" s="49">
        <v>40857.18</v>
      </c>
      <c r="N61" s="63"/>
      <c r="O61" s="45"/>
      <c r="P61" s="45">
        <v>463048</v>
      </c>
      <c r="Q61" s="99"/>
      <c r="R61" s="46">
        <v>43008</v>
      </c>
      <c r="S61" s="46">
        <v>42985</v>
      </c>
      <c r="T61" s="86" t="str">
        <f>IF(R61-S61&lt;0,(R61-S61)/30.41667,"–")</f>
        <v>–</v>
      </c>
    </row>
    <row r="62" spans="2:20" ht="15" customHeight="1" x14ac:dyDescent="0.25">
      <c r="B62" s="105" t="s">
        <v>458</v>
      </c>
      <c r="C62" s="100"/>
      <c r="D62" s="386" t="s">
        <v>459</v>
      </c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</row>
    <row r="63" spans="2:20" ht="36" x14ac:dyDescent="0.25">
      <c r="B63" s="92" t="s">
        <v>460</v>
      </c>
      <c r="C63" s="93"/>
      <c r="D63" s="51" t="s">
        <v>461</v>
      </c>
      <c r="E63" s="55" t="s">
        <v>308</v>
      </c>
      <c r="F63" s="55" t="s">
        <v>443</v>
      </c>
      <c r="G63" s="55" t="s">
        <v>349</v>
      </c>
      <c r="H63" s="55" t="s">
        <v>462</v>
      </c>
      <c r="I63" s="55" t="s">
        <v>298</v>
      </c>
      <c r="J63" s="55"/>
      <c r="K63" s="45">
        <f t="shared" si="3"/>
        <v>148515.76</v>
      </c>
      <c r="L63" s="45">
        <v>24397.759999999998</v>
      </c>
      <c r="M63" s="45"/>
      <c r="N63" s="45"/>
      <c r="O63" s="45"/>
      <c r="P63" s="45">
        <v>124118</v>
      </c>
      <c r="Q63" s="99"/>
      <c r="R63" s="46">
        <v>43008</v>
      </c>
      <c r="S63" s="46">
        <v>42983</v>
      </c>
      <c r="T63" s="86" t="str">
        <f>IF(R63-S63&lt;0,(R63-S63)/30.41667,"–")</f>
        <v>–</v>
      </c>
    </row>
    <row r="64" spans="2:20" ht="36" x14ac:dyDescent="0.25">
      <c r="B64" s="92" t="s">
        <v>465</v>
      </c>
      <c r="C64" s="93"/>
      <c r="D64" s="51" t="s">
        <v>466</v>
      </c>
      <c r="E64" s="55" t="s">
        <v>328</v>
      </c>
      <c r="F64" s="55" t="s">
        <v>443</v>
      </c>
      <c r="G64" s="55" t="s">
        <v>356</v>
      </c>
      <c r="H64" s="55" t="s">
        <v>462</v>
      </c>
      <c r="I64" s="55" t="s">
        <v>298</v>
      </c>
      <c r="J64" s="55"/>
      <c r="K64" s="45">
        <f t="shared" si="3"/>
        <v>181044</v>
      </c>
      <c r="L64" s="45">
        <v>27157</v>
      </c>
      <c r="M64" s="45"/>
      <c r="N64" s="45"/>
      <c r="O64" s="45"/>
      <c r="P64" s="45">
        <v>153887</v>
      </c>
      <c r="Q64" s="99"/>
      <c r="R64" s="46">
        <v>43009</v>
      </c>
      <c r="S64" s="46">
        <v>43007</v>
      </c>
      <c r="T64" s="86" t="str">
        <f>IF(R64-S64&lt;0,(R64-S64)/30.41667,"–")</f>
        <v>–</v>
      </c>
    </row>
    <row r="65" spans="1:20" ht="36" x14ac:dyDescent="0.25">
      <c r="B65" s="92" t="s">
        <v>467</v>
      </c>
      <c r="C65" s="93"/>
      <c r="D65" s="51" t="s">
        <v>468</v>
      </c>
      <c r="E65" s="55" t="s">
        <v>304</v>
      </c>
      <c r="F65" s="55" t="s">
        <v>443</v>
      </c>
      <c r="G65" s="55" t="s">
        <v>320</v>
      </c>
      <c r="H65" s="55" t="s">
        <v>462</v>
      </c>
      <c r="I65" s="55" t="s">
        <v>298</v>
      </c>
      <c r="J65" s="55"/>
      <c r="K65" s="45">
        <f t="shared" si="3"/>
        <v>250274.11</v>
      </c>
      <c r="L65" s="45">
        <v>37541.11</v>
      </c>
      <c r="M65" s="45"/>
      <c r="N65" s="45"/>
      <c r="O65" s="45"/>
      <c r="P65" s="45">
        <v>212733</v>
      </c>
      <c r="Q65" s="99"/>
      <c r="R65" s="46">
        <v>43098</v>
      </c>
      <c r="S65" s="46">
        <v>43096</v>
      </c>
      <c r="T65" s="86" t="str">
        <f>IF(R65-S65&lt;0,(R65-S65)/30.41667,"–")</f>
        <v>–</v>
      </c>
    </row>
    <row r="66" spans="1:20" ht="36" x14ac:dyDescent="0.25">
      <c r="B66" s="92" t="s">
        <v>469</v>
      </c>
      <c r="C66" s="93"/>
      <c r="D66" s="51" t="s">
        <v>470</v>
      </c>
      <c r="E66" s="55" t="s">
        <v>471</v>
      </c>
      <c r="F66" s="55" t="s">
        <v>443</v>
      </c>
      <c r="G66" s="55" t="s">
        <v>444</v>
      </c>
      <c r="H66" s="55" t="s">
        <v>462</v>
      </c>
      <c r="I66" s="55" t="s">
        <v>298</v>
      </c>
      <c r="J66" s="55"/>
      <c r="K66" s="45">
        <f t="shared" si="3"/>
        <v>92842.82</v>
      </c>
      <c r="L66" s="45">
        <v>28431.82</v>
      </c>
      <c r="M66" s="45"/>
      <c r="N66" s="45"/>
      <c r="O66" s="45"/>
      <c r="P66" s="45">
        <v>64411</v>
      </c>
      <c r="Q66" s="99"/>
      <c r="R66" s="46">
        <v>42948</v>
      </c>
      <c r="S66" s="46">
        <v>42916</v>
      </c>
      <c r="T66" s="86" t="str">
        <f>IF(R66-S66&lt;0,(R66-S66)/30.41667,"–")</f>
        <v>–</v>
      </c>
    </row>
    <row r="67" spans="1:20" ht="15" customHeight="1" x14ac:dyDescent="0.25">
      <c r="B67" s="105" t="s">
        <v>472</v>
      </c>
      <c r="C67" s="100"/>
      <c r="D67" s="386" t="s">
        <v>473</v>
      </c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</row>
    <row r="68" spans="1:20" ht="24" x14ac:dyDescent="0.25">
      <c r="B68" s="92" t="s">
        <v>474</v>
      </c>
      <c r="C68" s="93"/>
      <c r="D68" s="74" t="s">
        <v>475</v>
      </c>
      <c r="E68" s="54" t="s">
        <v>294</v>
      </c>
      <c r="F68" s="55" t="s">
        <v>443</v>
      </c>
      <c r="G68" s="55" t="s">
        <v>444</v>
      </c>
      <c r="H68" s="55" t="s">
        <v>476</v>
      </c>
      <c r="I68" s="55" t="s">
        <v>298</v>
      </c>
      <c r="J68" s="55"/>
      <c r="K68" s="45">
        <f t="shared" si="3"/>
        <v>809630.41999999993</v>
      </c>
      <c r="L68" s="45">
        <v>553430.44999999995</v>
      </c>
      <c r="M68" s="45">
        <v>20772.97</v>
      </c>
      <c r="N68" s="45"/>
      <c r="O68" s="45"/>
      <c r="P68" s="45">
        <v>235427</v>
      </c>
      <c r="Q68" s="99"/>
      <c r="R68" s="46">
        <v>43099</v>
      </c>
      <c r="S68" s="46">
        <v>43075</v>
      </c>
      <c r="T68" s="86" t="str">
        <f>IF(R68-S68&lt;0,(R68-S68)/30.41667,"–")</f>
        <v>–</v>
      </c>
    </row>
    <row r="69" spans="1:20" ht="36" x14ac:dyDescent="0.25">
      <c r="B69" s="92" t="s">
        <v>480</v>
      </c>
      <c r="C69" s="93"/>
      <c r="D69" s="74" t="s">
        <v>481</v>
      </c>
      <c r="E69" s="54" t="s">
        <v>328</v>
      </c>
      <c r="F69" s="55" t="s">
        <v>443</v>
      </c>
      <c r="G69" s="55" t="s">
        <v>426</v>
      </c>
      <c r="H69" s="55" t="s">
        <v>476</v>
      </c>
      <c r="I69" s="55" t="s">
        <v>298</v>
      </c>
      <c r="J69" s="55"/>
      <c r="K69" s="45">
        <f t="shared" si="3"/>
        <v>226080</v>
      </c>
      <c r="L69" s="45">
        <v>16956</v>
      </c>
      <c r="M69" s="45">
        <v>16956</v>
      </c>
      <c r="N69" s="45"/>
      <c r="O69" s="45"/>
      <c r="P69" s="45">
        <v>192168</v>
      </c>
      <c r="Q69" s="99"/>
      <c r="R69" s="46">
        <v>43099</v>
      </c>
      <c r="S69" s="46">
        <v>43077</v>
      </c>
      <c r="T69" s="86" t="str">
        <f>IF(R69-S69&lt;0,(R69-S69)/30.41667,"–")</f>
        <v>–</v>
      </c>
    </row>
    <row r="70" spans="1:20" ht="48" x14ac:dyDescent="0.25">
      <c r="B70" s="92" t="s">
        <v>484</v>
      </c>
      <c r="C70" s="93"/>
      <c r="D70" s="74" t="s">
        <v>485</v>
      </c>
      <c r="E70" s="54" t="s">
        <v>304</v>
      </c>
      <c r="F70" s="55" t="s">
        <v>443</v>
      </c>
      <c r="G70" s="55" t="s">
        <v>320</v>
      </c>
      <c r="H70" s="55" t="s">
        <v>476</v>
      </c>
      <c r="I70" s="55" t="s">
        <v>298</v>
      </c>
      <c r="J70" s="55"/>
      <c r="K70" s="45">
        <f t="shared" si="3"/>
        <v>312531.76470588235</v>
      </c>
      <c r="L70" s="45">
        <f>P70*15/85/2</f>
        <v>23439.882352941175</v>
      </c>
      <c r="M70" s="45">
        <f>L70</f>
        <v>23439.882352941175</v>
      </c>
      <c r="N70" s="45"/>
      <c r="O70" s="45"/>
      <c r="P70" s="45">
        <v>265652</v>
      </c>
      <c r="Q70" s="99"/>
      <c r="R70" s="46">
        <v>43099</v>
      </c>
      <c r="S70" s="46">
        <v>43073</v>
      </c>
      <c r="T70" s="86" t="str">
        <f>IF(R70-S70&lt;0,(R70-S70)/30.41667,"–")</f>
        <v>–</v>
      </c>
    </row>
    <row r="71" spans="1:20" x14ac:dyDescent="0.25">
      <c r="B71" s="101" t="s">
        <v>667</v>
      </c>
      <c r="C71" s="102"/>
      <c r="D71" s="390" t="s">
        <v>486</v>
      </c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</row>
    <row r="72" spans="1:20" x14ac:dyDescent="0.25">
      <c r="B72" s="105" t="s">
        <v>487</v>
      </c>
      <c r="C72" s="100"/>
      <c r="D72" s="391" t="s">
        <v>488</v>
      </c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</row>
    <row r="73" spans="1:20" ht="24" x14ac:dyDescent="0.25">
      <c r="B73" s="92" t="s">
        <v>489</v>
      </c>
      <c r="C73" s="93"/>
      <c r="D73" s="43" t="s">
        <v>490</v>
      </c>
      <c r="E73" s="54" t="s">
        <v>308</v>
      </c>
      <c r="F73" s="55" t="s">
        <v>491</v>
      </c>
      <c r="G73" s="55" t="s">
        <v>492</v>
      </c>
      <c r="H73" s="202" t="s">
        <v>493</v>
      </c>
      <c r="I73" s="55" t="s">
        <v>298</v>
      </c>
      <c r="J73" s="55"/>
      <c r="K73" s="45">
        <f t="shared" ref="K73:K99" si="4">SUM(L73:Q73)</f>
        <v>46877.647058823532</v>
      </c>
      <c r="L73" s="45">
        <f>M73</f>
        <v>3515.8235294117649</v>
      </c>
      <c r="M73" s="45">
        <f>7.5*P73/85</f>
        <v>3515.8235294117649</v>
      </c>
      <c r="N73" s="45"/>
      <c r="O73" s="45"/>
      <c r="P73" s="45">
        <v>39846</v>
      </c>
      <c r="Q73" s="94"/>
      <c r="R73" s="46">
        <v>43220</v>
      </c>
      <c r="S73" s="46">
        <v>43220</v>
      </c>
      <c r="T73" s="86" t="str">
        <f>IF(R73-S73&lt;0,(R73-S73)/30.41667,"–")</f>
        <v>–</v>
      </c>
    </row>
    <row r="74" spans="1:20" ht="24" x14ac:dyDescent="0.25">
      <c r="B74" s="92" t="s">
        <v>496</v>
      </c>
      <c r="C74" s="93"/>
      <c r="D74" s="43" t="s">
        <v>497</v>
      </c>
      <c r="E74" s="54" t="s">
        <v>498</v>
      </c>
      <c r="F74" s="55" t="s">
        <v>491</v>
      </c>
      <c r="G74" s="55" t="s">
        <v>426</v>
      </c>
      <c r="H74" s="202" t="s">
        <v>493</v>
      </c>
      <c r="I74" s="55" t="s">
        <v>298</v>
      </c>
      <c r="J74" s="55"/>
      <c r="K74" s="45">
        <f t="shared" si="4"/>
        <v>137798.82352941178</v>
      </c>
      <c r="L74" s="45">
        <f t="shared" ref="L74:L76" si="5">M74</f>
        <v>10334.911764705883</v>
      </c>
      <c r="M74" s="45">
        <f t="shared" ref="M74:M76" si="6">7.5*P74/85</f>
        <v>10334.911764705883</v>
      </c>
      <c r="N74" s="45"/>
      <c r="O74" s="45"/>
      <c r="P74" s="45">
        <v>117129</v>
      </c>
      <c r="Q74" s="94"/>
      <c r="R74" s="46">
        <v>43220</v>
      </c>
      <c r="S74" s="46">
        <v>43208</v>
      </c>
      <c r="T74" s="86" t="str">
        <f>IF(R74-S74&lt;0,(R74-S74)/30.41667,"–")</f>
        <v>–</v>
      </c>
    </row>
    <row r="75" spans="1:20" x14ac:dyDescent="0.25">
      <c r="B75" s="92" t="s">
        <v>501</v>
      </c>
      <c r="C75" s="93"/>
      <c r="D75" s="43" t="s">
        <v>502</v>
      </c>
      <c r="E75" s="54" t="s">
        <v>503</v>
      </c>
      <c r="F75" s="55" t="s">
        <v>491</v>
      </c>
      <c r="G75" s="55" t="s">
        <v>504</v>
      </c>
      <c r="H75" s="202" t="s">
        <v>493</v>
      </c>
      <c r="I75" s="55" t="s">
        <v>298</v>
      </c>
      <c r="J75" s="55"/>
      <c r="K75" s="45">
        <f t="shared" si="4"/>
        <v>190492.9411764706</v>
      </c>
      <c r="L75" s="45">
        <f t="shared" si="5"/>
        <v>14286.970588235294</v>
      </c>
      <c r="M75" s="45">
        <f t="shared" si="6"/>
        <v>14286.970588235294</v>
      </c>
      <c r="N75" s="45"/>
      <c r="O75" s="45"/>
      <c r="P75" s="45">
        <v>161919</v>
      </c>
      <c r="Q75" s="94"/>
      <c r="R75" s="46">
        <v>43220</v>
      </c>
      <c r="S75" s="46">
        <v>43203</v>
      </c>
      <c r="T75" s="86" t="str">
        <f>IF(R75-S75&lt;0,(R75-S75)/30.41667,"–")</f>
        <v>–</v>
      </c>
    </row>
    <row r="76" spans="1:20" ht="36.75" customHeight="1" x14ac:dyDescent="0.25">
      <c r="B76" s="92" t="s">
        <v>506</v>
      </c>
      <c r="C76" s="93"/>
      <c r="D76" s="43" t="s">
        <v>507</v>
      </c>
      <c r="E76" s="54" t="s">
        <v>508</v>
      </c>
      <c r="F76" s="55" t="s">
        <v>491</v>
      </c>
      <c r="G76" s="55" t="s">
        <v>509</v>
      </c>
      <c r="H76" s="202" t="s">
        <v>493</v>
      </c>
      <c r="I76" s="55" t="s">
        <v>298</v>
      </c>
      <c r="J76" s="55"/>
      <c r="K76" s="45">
        <f t="shared" si="4"/>
        <v>121941.17647058824</v>
      </c>
      <c r="L76" s="45">
        <f t="shared" si="5"/>
        <v>9145.5882352941171</v>
      </c>
      <c r="M76" s="45">
        <f t="shared" si="6"/>
        <v>9145.5882352941171</v>
      </c>
      <c r="N76" s="45"/>
      <c r="O76" s="45"/>
      <c r="P76" s="45">
        <v>103650</v>
      </c>
      <c r="Q76" s="94"/>
      <c r="R76" s="46">
        <v>43220</v>
      </c>
      <c r="S76" s="46">
        <v>43216</v>
      </c>
      <c r="T76" s="86" t="str">
        <f>IF(R76-S76&lt;0,(R76-S76)/30.41667,"–")</f>
        <v>–</v>
      </c>
    </row>
    <row r="77" spans="1:20" x14ac:dyDescent="0.25">
      <c r="B77" s="105" t="s">
        <v>511</v>
      </c>
      <c r="C77" s="100"/>
      <c r="D77" s="391" t="s">
        <v>512</v>
      </c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</row>
    <row r="78" spans="1:20" s="193" customFormat="1" ht="48" x14ac:dyDescent="0.25">
      <c r="A78" s="220"/>
      <c r="B78" s="159" t="s">
        <v>707</v>
      </c>
      <c r="C78" s="159"/>
      <c r="D78" s="47" t="s">
        <v>708</v>
      </c>
      <c r="E78" s="159" t="s">
        <v>709</v>
      </c>
      <c r="F78" s="159" t="s">
        <v>491</v>
      </c>
      <c r="G78" s="53" t="s">
        <v>426</v>
      </c>
      <c r="H78" s="159" t="s">
        <v>710</v>
      </c>
      <c r="I78" s="159" t="s">
        <v>298</v>
      </c>
      <c r="J78" s="222"/>
      <c r="K78" s="45">
        <f t="shared" si="4"/>
        <v>12312.235294117647</v>
      </c>
      <c r="L78" s="73">
        <v>923.4176470588236</v>
      </c>
      <c r="M78" s="73">
        <v>923.4176470588236</v>
      </c>
      <c r="N78" s="73"/>
      <c r="O78" s="73"/>
      <c r="P78" s="73">
        <v>10465.4</v>
      </c>
      <c r="Q78" s="222"/>
      <c r="R78" s="295">
        <v>43250</v>
      </c>
      <c r="S78" s="46">
        <v>43248</v>
      </c>
      <c r="T78" s="86" t="str">
        <f>IF(R78-S78&lt;0,(R78-S78)/30.41667,"–")</f>
        <v>–</v>
      </c>
    </row>
    <row r="79" spans="1:20" s="193" customFormat="1" ht="36" x14ac:dyDescent="0.25">
      <c r="A79" s="220"/>
      <c r="B79" s="159" t="s">
        <v>711</v>
      </c>
      <c r="C79" s="159"/>
      <c r="D79" s="47" t="s">
        <v>712</v>
      </c>
      <c r="E79" s="159" t="s">
        <v>308</v>
      </c>
      <c r="F79" s="159" t="s">
        <v>491</v>
      </c>
      <c r="G79" s="53" t="s">
        <v>713</v>
      </c>
      <c r="H79" s="159" t="s">
        <v>710</v>
      </c>
      <c r="I79" s="159" t="s">
        <v>298</v>
      </c>
      <c r="J79" s="159"/>
      <c r="K79" s="45">
        <f t="shared" si="4"/>
        <v>4317</v>
      </c>
      <c r="L79" s="73">
        <v>323.7</v>
      </c>
      <c r="M79" s="73">
        <v>323.7</v>
      </c>
      <c r="N79" s="73"/>
      <c r="O79" s="73"/>
      <c r="P79" s="73">
        <v>3669.6</v>
      </c>
      <c r="Q79" s="159"/>
      <c r="R79" s="295">
        <v>43252</v>
      </c>
      <c r="S79" s="46">
        <v>43220</v>
      </c>
      <c r="T79" s="86" t="str">
        <f>IF(R79-S79&lt;0,(R79-S79)/30.41667,"–")</f>
        <v>–</v>
      </c>
    </row>
    <row r="80" spans="1:20" s="193" customFormat="1" ht="48" x14ac:dyDescent="0.25">
      <c r="A80" s="221"/>
      <c r="B80" s="297" t="s">
        <v>714</v>
      </c>
      <c r="C80" s="297"/>
      <c r="D80" s="119" t="s">
        <v>715</v>
      </c>
      <c r="E80" s="53" t="s">
        <v>716</v>
      </c>
      <c r="F80" s="53" t="s">
        <v>491</v>
      </c>
      <c r="G80" s="53" t="s">
        <v>575</v>
      </c>
      <c r="H80" s="53" t="s">
        <v>710</v>
      </c>
      <c r="I80" s="53" t="s">
        <v>298</v>
      </c>
      <c r="J80" s="57"/>
      <c r="K80" s="45">
        <f t="shared" si="4"/>
        <v>10980</v>
      </c>
      <c r="L80" s="73">
        <v>823.5</v>
      </c>
      <c r="M80" s="73">
        <v>823.5</v>
      </c>
      <c r="N80" s="73"/>
      <c r="O80" s="73"/>
      <c r="P80" s="73">
        <v>9333</v>
      </c>
      <c r="Q80" s="99"/>
      <c r="R80" s="295">
        <v>43252</v>
      </c>
      <c r="S80" s="46">
        <v>43216</v>
      </c>
      <c r="T80" s="86" t="str">
        <f>IF(R80-S80&lt;0,(R80-S80)/30.41667,"–")</f>
        <v>–</v>
      </c>
    </row>
    <row r="81" spans="1:20" s="193" customFormat="1" ht="36" x14ac:dyDescent="0.25">
      <c r="A81" s="221"/>
      <c r="B81" s="297" t="s">
        <v>717</v>
      </c>
      <c r="C81" s="297"/>
      <c r="D81" s="119" t="s">
        <v>718</v>
      </c>
      <c r="E81" s="53" t="s">
        <v>719</v>
      </c>
      <c r="F81" s="53" t="s">
        <v>491</v>
      </c>
      <c r="G81" s="53" t="s">
        <v>390</v>
      </c>
      <c r="H81" s="53" t="s">
        <v>710</v>
      </c>
      <c r="I81" s="53" t="s">
        <v>298</v>
      </c>
      <c r="J81" s="57"/>
      <c r="K81" s="45">
        <f t="shared" si="4"/>
        <v>17152.939999999999</v>
      </c>
      <c r="L81" s="73">
        <v>1286.47</v>
      </c>
      <c r="M81" s="73">
        <v>1286.47</v>
      </c>
      <c r="N81" s="73"/>
      <c r="O81" s="73"/>
      <c r="P81" s="73">
        <v>14580</v>
      </c>
      <c r="Q81" s="99"/>
      <c r="R81" s="295">
        <v>43344</v>
      </c>
      <c r="S81" s="329">
        <v>43326</v>
      </c>
      <c r="T81" s="103" t="str">
        <f>IF(R81-S81&lt;0,(R81-S81)/30.41667,"–")</f>
        <v>–</v>
      </c>
    </row>
    <row r="82" spans="1:20" x14ac:dyDescent="0.25">
      <c r="B82" s="105" t="s">
        <v>513</v>
      </c>
      <c r="C82" s="100"/>
      <c r="D82" s="391" t="s">
        <v>514</v>
      </c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</row>
    <row r="83" spans="1:20" s="193" customFormat="1" ht="24" x14ac:dyDescent="0.25">
      <c r="A83" s="219"/>
      <c r="B83" s="159" t="s">
        <v>720</v>
      </c>
      <c r="C83" s="159"/>
      <c r="D83" s="47" t="s">
        <v>721</v>
      </c>
      <c r="E83" s="53" t="s">
        <v>308</v>
      </c>
      <c r="F83" s="53" t="s">
        <v>491</v>
      </c>
      <c r="G83" s="53" t="s">
        <v>713</v>
      </c>
      <c r="H83" s="159" t="s">
        <v>722</v>
      </c>
      <c r="I83" s="159" t="s">
        <v>298</v>
      </c>
      <c r="J83" s="222"/>
      <c r="K83" s="45">
        <f t="shared" si="4"/>
        <v>33913.85</v>
      </c>
      <c r="L83" s="73">
        <v>2543.5300000000002</v>
      </c>
      <c r="M83" s="73">
        <v>2543.5300000000002</v>
      </c>
      <c r="N83" s="73"/>
      <c r="O83" s="73"/>
      <c r="P83" s="73">
        <v>28826.79</v>
      </c>
      <c r="Q83" s="222"/>
      <c r="R83" s="295">
        <v>43374</v>
      </c>
      <c r="S83" s="330">
        <v>43371</v>
      </c>
      <c r="T83" s="233" t="s">
        <v>34</v>
      </c>
    </row>
    <row r="84" spans="1:20" s="193" customFormat="1" ht="36" x14ac:dyDescent="0.25">
      <c r="A84" s="219"/>
      <c r="B84" s="159" t="s">
        <v>723</v>
      </c>
      <c r="C84" s="159"/>
      <c r="D84" s="47" t="s">
        <v>724</v>
      </c>
      <c r="E84" s="53" t="s">
        <v>725</v>
      </c>
      <c r="F84" s="53" t="s">
        <v>491</v>
      </c>
      <c r="G84" s="53" t="s">
        <v>713</v>
      </c>
      <c r="H84" s="159" t="s">
        <v>722</v>
      </c>
      <c r="I84" s="159" t="s">
        <v>298</v>
      </c>
      <c r="J84" s="222"/>
      <c r="K84" s="45">
        <f t="shared" si="4"/>
        <v>34079.07</v>
      </c>
      <c r="L84" s="73"/>
      <c r="M84" s="73">
        <v>2555.9299999999998</v>
      </c>
      <c r="N84" s="73">
        <v>2555.9299999999998</v>
      </c>
      <c r="O84" s="73"/>
      <c r="P84" s="73">
        <v>28967.21</v>
      </c>
      <c r="Q84" s="222"/>
      <c r="R84" s="295">
        <v>43344</v>
      </c>
      <c r="S84" s="330">
        <v>43343</v>
      </c>
      <c r="T84" s="233" t="s">
        <v>34</v>
      </c>
    </row>
    <row r="85" spans="1:20" s="193" customFormat="1" ht="36" x14ac:dyDescent="0.25">
      <c r="A85" s="219"/>
      <c r="B85" s="159" t="s">
        <v>726</v>
      </c>
      <c r="C85" s="159"/>
      <c r="D85" s="47" t="s">
        <v>727</v>
      </c>
      <c r="E85" s="53" t="s">
        <v>728</v>
      </c>
      <c r="F85" s="53" t="s">
        <v>491</v>
      </c>
      <c r="G85" s="53" t="s">
        <v>729</v>
      </c>
      <c r="H85" s="159" t="s">
        <v>722</v>
      </c>
      <c r="I85" s="159" t="s">
        <v>298</v>
      </c>
      <c r="J85" s="222"/>
      <c r="K85" s="45">
        <f t="shared" si="4"/>
        <v>178381.68000000002</v>
      </c>
      <c r="L85" s="73">
        <v>13378.64</v>
      </c>
      <c r="M85" s="73">
        <v>13378.62</v>
      </c>
      <c r="N85" s="73"/>
      <c r="O85" s="73"/>
      <c r="P85" s="73">
        <v>151624.42000000001</v>
      </c>
      <c r="Q85" s="222"/>
      <c r="R85" s="295">
        <v>43371</v>
      </c>
      <c r="S85" s="330">
        <v>43370</v>
      </c>
      <c r="T85" s="233" t="s">
        <v>34</v>
      </c>
    </row>
    <row r="86" spans="1:20" s="193" customFormat="1" ht="48" x14ac:dyDescent="0.25">
      <c r="A86" s="219"/>
      <c r="B86" s="159" t="s">
        <v>730</v>
      </c>
      <c r="C86" s="159"/>
      <c r="D86" s="47" t="s">
        <v>731</v>
      </c>
      <c r="E86" s="53" t="s">
        <v>732</v>
      </c>
      <c r="F86" s="53" t="s">
        <v>491</v>
      </c>
      <c r="G86" s="53" t="s">
        <v>729</v>
      </c>
      <c r="H86" s="159" t="s">
        <v>722</v>
      </c>
      <c r="I86" s="159" t="s">
        <v>298</v>
      </c>
      <c r="J86" s="222"/>
      <c r="K86" s="45">
        <f t="shared" si="4"/>
        <v>24189.1</v>
      </c>
      <c r="L86" s="73"/>
      <c r="M86" s="73">
        <v>1814.18</v>
      </c>
      <c r="N86" s="73">
        <v>1814.19</v>
      </c>
      <c r="O86" s="73"/>
      <c r="P86" s="73">
        <v>20560.73</v>
      </c>
      <c r="Q86" s="222"/>
      <c r="R86" s="295">
        <v>43371</v>
      </c>
      <c r="S86" s="330">
        <v>43368</v>
      </c>
      <c r="T86" s="233" t="s">
        <v>34</v>
      </c>
    </row>
    <row r="87" spans="1:20" s="193" customFormat="1" ht="48" x14ac:dyDescent="0.25">
      <c r="A87" s="219"/>
      <c r="B87" s="159" t="s">
        <v>733</v>
      </c>
      <c r="C87" s="159"/>
      <c r="D87" s="47" t="s">
        <v>734</v>
      </c>
      <c r="E87" s="53" t="s">
        <v>735</v>
      </c>
      <c r="F87" s="53" t="s">
        <v>491</v>
      </c>
      <c r="G87" s="53" t="s">
        <v>729</v>
      </c>
      <c r="H87" s="159" t="s">
        <v>722</v>
      </c>
      <c r="I87" s="159" t="s">
        <v>298</v>
      </c>
      <c r="J87" s="222"/>
      <c r="K87" s="45">
        <f t="shared" si="4"/>
        <v>23626.350000000002</v>
      </c>
      <c r="L87" s="73"/>
      <c r="M87" s="73">
        <v>1771.97</v>
      </c>
      <c r="N87" s="73">
        <v>1771.98</v>
      </c>
      <c r="O87" s="73"/>
      <c r="P87" s="73">
        <v>20082.400000000001</v>
      </c>
      <c r="Q87" s="222"/>
      <c r="R87" s="295">
        <v>43371</v>
      </c>
      <c r="S87" s="330">
        <v>43369</v>
      </c>
      <c r="T87" s="233" t="s">
        <v>34</v>
      </c>
    </row>
    <row r="88" spans="1:20" s="193" customFormat="1" ht="36" x14ac:dyDescent="0.25">
      <c r="A88" s="219"/>
      <c r="B88" s="159" t="s">
        <v>736</v>
      </c>
      <c r="C88" s="159"/>
      <c r="D88" s="47" t="s">
        <v>737</v>
      </c>
      <c r="E88" s="53" t="s">
        <v>738</v>
      </c>
      <c r="F88" s="53" t="s">
        <v>491</v>
      </c>
      <c r="G88" s="53" t="s">
        <v>729</v>
      </c>
      <c r="H88" s="159" t="s">
        <v>722</v>
      </c>
      <c r="I88" s="159" t="s">
        <v>298</v>
      </c>
      <c r="J88" s="222"/>
      <c r="K88" s="45">
        <f t="shared" si="4"/>
        <v>14262.54</v>
      </c>
      <c r="L88" s="73"/>
      <c r="M88" s="73">
        <v>1069.69</v>
      </c>
      <c r="N88" s="73">
        <v>1069.7</v>
      </c>
      <c r="O88" s="73"/>
      <c r="P88" s="73">
        <v>12123.15</v>
      </c>
      <c r="Q88" s="222"/>
      <c r="R88" s="295">
        <v>43371</v>
      </c>
      <c r="S88" s="330">
        <v>43371</v>
      </c>
      <c r="T88" s="233" t="s">
        <v>34</v>
      </c>
    </row>
    <row r="89" spans="1:20" s="193" customFormat="1" ht="36" x14ac:dyDescent="0.25">
      <c r="A89" s="219"/>
      <c r="B89" s="159" t="s">
        <v>739</v>
      </c>
      <c r="C89" s="159"/>
      <c r="D89" s="47" t="s">
        <v>740</v>
      </c>
      <c r="E89" s="53" t="s">
        <v>741</v>
      </c>
      <c r="F89" s="53" t="s">
        <v>491</v>
      </c>
      <c r="G89" s="53" t="s">
        <v>729</v>
      </c>
      <c r="H89" s="159" t="s">
        <v>722</v>
      </c>
      <c r="I89" s="159" t="s">
        <v>298</v>
      </c>
      <c r="J89" s="222"/>
      <c r="K89" s="45">
        <f t="shared" si="4"/>
        <v>21476.829999999998</v>
      </c>
      <c r="L89" s="73"/>
      <c r="M89" s="73">
        <v>1610.76</v>
      </c>
      <c r="N89" s="73">
        <v>1610.77</v>
      </c>
      <c r="O89" s="73"/>
      <c r="P89" s="73">
        <v>18255.3</v>
      </c>
      <c r="Q89" s="222"/>
      <c r="R89" s="295">
        <v>43371</v>
      </c>
      <c r="S89" s="330">
        <v>43371</v>
      </c>
      <c r="T89" s="233" t="s">
        <v>34</v>
      </c>
    </row>
    <row r="90" spans="1:20" s="193" customFormat="1" ht="24" x14ac:dyDescent="0.25">
      <c r="A90" s="219"/>
      <c r="B90" s="159" t="s">
        <v>742</v>
      </c>
      <c r="C90" s="159"/>
      <c r="D90" s="47" t="s">
        <v>743</v>
      </c>
      <c r="E90" s="53" t="s">
        <v>744</v>
      </c>
      <c r="F90" s="53" t="s">
        <v>491</v>
      </c>
      <c r="G90" s="53" t="s">
        <v>342</v>
      </c>
      <c r="H90" s="159" t="s">
        <v>722</v>
      </c>
      <c r="I90" s="159" t="s">
        <v>298</v>
      </c>
      <c r="J90" s="222"/>
      <c r="K90" s="45">
        <f t="shared" si="4"/>
        <v>100228.23</v>
      </c>
      <c r="L90" s="73">
        <v>7517.12</v>
      </c>
      <c r="M90" s="73">
        <v>7517.11</v>
      </c>
      <c r="N90" s="73"/>
      <c r="O90" s="73"/>
      <c r="P90" s="73">
        <v>85194</v>
      </c>
      <c r="Q90" s="222"/>
      <c r="R90" s="295">
        <v>43358</v>
      </c>
      <c r="S90" s="330">
        <v>43357</v>
      </c>
      <c r="T90" s="233" t="s">
        <v>34</v>
      </c>
    </row>
    <row r="91" spans="1:20" s="193" customFormat="1" ht="60" x14ac:dyDescent="0.25">
      <c r="A91" s="219"/>
      <c r="B91" s="159" t="s">
        <v>745</v>
      </c>
      <c r="C91" s="159"/>
      <c r="D91" s="47" t="s">
        <v>746</v>
      </c>
      <c r="E91" s="53" t="s">
        <v>747</v>
      </c>
      <c r="F91" s="53" t="s">
        <v>491</v>
      </c>
      <c r="G91" s="53" t="s">
        <v>342</v>
      </c>
      <c r="H91" s="159" t="s">
        <v>722</v>
      </c>
      <c r="I91" s="159" t="s">
        <v>298</v>
      </c>
      <c r="J91" s="222"/>
      <c r="K91" s="45">
        <f t="shared" si="4"/>
        <v>52792.94</v>
      </c>
      <c r="L91" s="73"/>
      <c r="M91" s="73">
        <v>3959.47</v>
      </c>
      <c r="N91" s="73">
        <v>3959.47</v>
      </c>
      <c r="O91" s="73"/>
      <c r="P91" s="73">
        <v>44874</v>
      </c>
      <c r="Q91" s="222"/>
      <c r="R91" s="295">
        <v>43358</v>
      </c>
      <c r="S91" s="330">
        <v>43357</v>
      </c>
      <c r="T91" s="233" t="s">
        <v>34</v>
      </c>
    </row>
    <row r="92" spans="1:20" s="193" customFormat="1" ht="48" x14ac:dyDescent="0.25">
      <c r="A92" s="219"/>
      <c r="B92" s="159" t="s">
        <v>748</v>
      </c>
      <c r="C92" s="159"/>
      <c r="D92" s="47" t="s">
        <v>749</v>
      </c>
      <c r="E92" s="53" t="s">
        <v>750</v>
      </c>
      <c r="F92" s="53" t="s">
        <v>491</v>
      </c>
      <c r="G92" s="53" t="s">
        <v>342</v>
      </c>
      <c r="H92" s="159" t="s">
        <v>722</v>
      </c>
      <c r="I92" s="159" t="s">
        <v>298</v>
      </c>
      <c r="J92" s="222"/>
      <c r="K92" s="45">
        <f t="shared" si="4"/>
        <v>21270.58</v>
      </c>
      <c r="L92" s="73">
        <v>1595.29</v>
      </c>
      <c r="M92" s="73">
        <v>1595.29</v>
      </c>
      <c r="N92" s="73"/>
      <c r="O92" s="73"/>
      <c r="P92" s="73">
        <v>18080</v>
      </c>
      <c r="Q92" s="222"/>
      <c r="R92" s="295">
        <v>43358</v>
      </c>
      <c r="S92" s="330">
        <v>43363</v>
      </c>
      <c r="T92" s="233" t="s">
        <v>34</v>
      </c>
    </row>
    <row r="93" spans="1:20" s="193" customFormat="1" ht="48" x14ac:dyDescent="0.25">
      <c r="A93" s="219"/>
      <c r="B93" s="159" t="s">
        <v>751</v>
      </c>
      <c r="C93" s="159"/>
      <c r="D93" s="47" t="s">
        <v>752</v>
      </c>
      <c r="E93" s="53" t="s">
        <v>753</v>
      </c>
      <c r="F93" s="53" t="s">
        <v>491</v>
      </c>
      <c r="G93" s="53" t="s">
        <v>342</v>
      </c>
      <c r="H93" s="159" t="s">
        <v>722</v>
      </c>
      <c r="I93" s="159" t="s">
        <v>298</v>
      </c>
      <c r="J93" s="222"/>
      <c r="K93" s="45">
        <f t="shared" si="4"/>
        <v>18170.59</v>
      </c>
      <c r="L93" s="73">
        <v>1362.8</v>
      </c>
      <c r="M93" s="73">
        <v>1362.79</v>
      </c>
      <c r="N93" s="73"/>
      <c r="O93" s="73"/>
      <c r="P93" s="73">
        <v>15445</v>
      </c>
      <c r="Q93" s="222"/>
      <c r="R93" s="295">
        <v>43373</v>
      </c>
      <c r="S93" s="330">
        <v>43340</v>
      </c>
      <c r="T93" s="233" t="s">
        <v>34</v>
      </c>
    </row>
    <row r="94" spans="1:20" s="193" customFormat="1" ht="48" x14ac:dyDescent="0.25">
      <c r="A94" s="219"/>
      <c r="B94" s="159" t="s">
        <v>754</v>
      </c>
      <c r="C94" s="159"/>
      <c r="D94" s="47" t="s">
        <v>755</v>
      </c>
      <c r="E94" s="53" t="s">
        <v>756</v>
      </c>
      <c r="F94" s="53" t="s">
        <v>491</v>
      </c>
      <c r="G94" s="53" t="s">
        <v>342</v>
      </c>
      <c r="H94" s="159" t="s">
        <v>722</v>
      </c>
      <c r="I94" s="159" t="s">
        <v>298</v>
      </c>
      <c r="J94" s="222"/>
      <c r="K94" s="45">
        <f t="shared" si="4"/>
        <v>24982.35</v>
      </c>
      <c r="L94" s="73">
        <v>1873.68</v>
      </c>
      <c r="M94" s="73">
        <v>1873.67</v>
      </c>
      <c r="N94" s="73"/>
      <c r="O94" s="73"/>
      <c r="P94" s="73">
        <v>21235</v>
      </c>
      <c r="Q94" s="222"/>
      <c r="R94" s="295">
        <v>43358</v>
      </c>
      <c r="S94" s="330">
        <v>43364</v>
      </c>
      <c r="T94" s="233" t="s">
        <v>34</v>
      </c>
    </row>
    <row r="95" spans="1:20" s="193" customFormat="1" ht="36" x14ac:dyDescent="0.25">
      <c r="A95" s="219"/>
      <c r="B95" s="159" t="s">
        <v>757</v>
      </c>
      <c r="C95" s="159"/>
      <c r="D95" s="47" t="s">
        <v>758</v>
      </c>
      <c r="E95" s="53" t="s">
        <v>759</v>
      </c>
      <c r="F95" s="53" t="s">
        <v>491</v>
      </c>
      <c r="G95" s="53" t="s">
        <v>342</v>
      </c>
      <c r="H95" s="159" t="s">
        <v>722</v>
      </c>
      <c r="I95" s="159" t="s">
        <v>298</v>
      </c>
      <c r="J95" s="222"/>
      <c r="K95" s="45">
        <f t="shared" si="4"/>
        <v>17587.04</v>
      </c>
      <c r="L95" s="73">
        <v>1319.02</v>
      </c>
      <c r="M95" s="73">
        <v>1319.02</v>
      </c>
      <c r="N95" s="73"/>
      <c r="O95" s="73"/>
      <c r="P95" s="73">
        <v>14949</v>
      </c>
      <c r="Q95" s="222"/>
      <c r="R95" s="295">
        <v>43464</v>
      </c>
      <c r="S95" s="330"/>
      <c r="T95" s="233"/>
    </row>
    <row r="96" spans="1:20" s="193" customFormat="1" ht="36" x14ac:dyDescent="0.25">
      <c r="A96" s="219"/>
      <c r="B96" s="159" t="s">
        <v>760</v>
      </c>
      <c r="C96" s="159"/>
      <c r="D96" s="47" t="s">
        <v>761</v>
      </c>
      <c r="E96" s="53" t="s">
        <v>762</v>
      </c>
      <c r="F96" s="53" t="s">
        <v>491</v>
      </c>
      <c r="G96" s="53" t="s">
        <v>763</v>
      </c>
      <c r="H96" s="159" t="s">
        <v>722</v>
      </c>
      <c r="I96" s="159" t="s">
        <v>298</v>
      </c>
      <c r="J96" s="222"/>
      <c r="K96" s="45">
        <f t="shared" si="4"/>
        <v>240523</v>
      </c>
      <c r="L96" s="73">
        <v>18039.23</v>
      </c>
      <c r="M96" s="73">
        <v>18039.22</v>
      </c>
      <c r="N96" s="73"/>
      <c r="O96" s="73"/>
      <c r="P96" s="73">
        <v>204444.55</v>
      </c>
      <c r="Q96" s="222"/>
      <c r="R96" s="295">
        <v>43363</v>
      </c>
      <c r="S96" s="330">
        <v>43362</v>
      </c>
      <c r="T96" s="233" t="s">
        <v>34</v>
      </c>
    </row>
    <row r="97" spans="1:20" s="193" customFormat="1" ht="36" x14ac:dyDescent="0.25">
      <c r="A97" s="219"/>
      <c r="B97" s="159" t="s">
        <v>764</v>
      </c>
      <c r="C97" s="159"/>
      <c r="D97" s="47" t="s">
        <v>765</v>
      </c>
      <c r="E97" s="53" t="s">
        <v>766</v>
      </c>
      <c r="F97" s="53" t="s">
        <v>491</v>
      </c>
      <c r="G97" s="53" t="s">
        <v>763</v>
      </c>
      <c r="H97" s="159" t="s">
        <v>722</v>
      </c>
      <c r="I97" s="159" t="s">
        <v>298</v>
      </c>
      <c r="J97" s="222"/>
      <c r="K97" s="45">
        <f t="shared" si="4"/>
        <v>47242</v>
      </c>
      <c r="L97" s="73"/>
      <c r="M97" s="73">
        <v>3543.15</v>
      </c>
      <c r="N97" s="73">
        <v>3543.15</v>
      </c>
      <c r="O97" s="73"/>
      <c r="P97" s="73">
        <v>40155.699999999997</v>
      </c>
      <c r="Q97" s="222"/>
      <c r="R97" s="295">
        <v>43332</v>
      </c>
      <c r="S97" s="295">
        <v>43315</v>
      </c>
      <c r="T97" s="233" t="s">
        <v>34</v>
      </c>
    </row>
    <row r="98" spans="1:20" s="193" customFormat="1" ht="48" x14ac:dyDescent="0.25">
      <c r="A98" s="219"/>
      <c r="B98" s="159" t="s">
        <v>767</v>
      </c>
      <c r="C98" s="159"/>
      <c r="D98" s="47" t="s">
        <v>768</v>
      </c>
      <c r="E98" s="53" t="s">
        <v>769</v>
      </c>
      <c r="F98" s="53" t="s">
        <v>491</v>
      </c>
      <c r="G98" s="53" t="s">
        <v>763</v>
      </c>
      <c r="H98" s="159" t="s">
        <v>722</v>
      </c>
      <c r="I98" s="159" t="s">
        <v>298</v>
      </c>
      <c r="J98" s="222"/>
      <c r="K98" s="45">
        <f t="shared" si="4"/>
        <v>23724</v>
      </c>
      <c r="L98" s="73"/>
      <c r="M98" s="73">
        <v>1779.3</v>
      </c>
      <c r="N98" s="73">
        <v>1779.3</v>
      </c>
      <c r="O98" s="73"/>
      <c r="P98" s="73">
        <v>20165.400000000001</v>
      </c>
      <c r="Q98" s="222"/>
      <c r="R98" s="295">
        <v>43348</v>
      </c>
      <c r="S98" s="330">
        <v>43348</v>
      </c>
      <c r="T98" s="233" t="s">
        <v>34</v>
      </c>
    </row>
    <row r="99" spans="1:20" s="193" customFormat="1" ht="36" x14ac:dyDescent="0.25">
      <c r="A99" s="219"/>
      <c r="B99" s="159" t="s">
        <v>770</v>
      </c>
      <c r="C99" s="159"/>
      <c r="D99" s="47" t="s">
        <v>771</v>
      </c>
      <c r="E99" s="53" t="s">
        <v>772</v>
      </c>
      <c r="F99" s="53" t="s">
        <v>491</v>
      </c>
      <c r="G99" s="53" t="s">
        <v>763</v>
      </c>
      <c r="H99" s="159" t="s">
        <v>722</v>
      </c>
      <c r="I99" s="159" t="s">
        <v>298</v>
      </c>
      <c r="J99" s="222"/>
      <c r="K99" s="45">
        <f t="shared" si="4"/>
        <v>107171</v>
      </c>
      <c r="L99" s="73"/>
      <c r="M99" s="73">
        <v>8037.82</v>
      </c>
      <c r="N99" s="73">
        <v>8037.83</v>
      </c>
      <c r="O99" s="73"/>
      <c r="P99" s="73">
        <v>91095.35</v>
      </c>
      <c r="Q99" s="222"/>
      <c r="R99" s="295">
        <v>43353</v>
      </c>
      <c r="S99" s="330">
        <v>43346</v>
      </c>
      <c r="T99" s="233" t="s">
        <v>34</v>
      </c>
    </row>
    <row r="100" spans="1:20" x14ac:dyDescent="0.25">
      <c r="A100" s="219"/>
      <c r="B100" s="101" t="s">
        <v>668</v>
      </c>
      <c r="C100" s="102"/>
      <c r="D100" s="390" t="s">
        <v>515</v>
      </c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</row>
    <row r="101" spans="1:20" x14ac:dyDescent="0.25">
      <c r="B101" s="105" t="s">
        <v>516</v>
      </c>
      <c r="C101" s="100"/>
      <c r="D101" s="391" t="s">
        <v>517</v>
      </c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</row>
    <row r="102" spans="1:20" ht="48" x14ac:dyDescent="0.25">
      <c r="B102" s="92" t="s">
        <v>518</v>
      </c>
      <c r="C102" s="93"/>
      <c r="D102" s="43" t="s">
        <v>519</v>
      </c>
      <c r="E102" s="54" t="s">
        <v>294</v>
      </c>
      <c r="F102" s="55" t="s">
        <v>520</v>
      </c>
      <c r="G102" s="55" t="s">
        <v>521</v>
      </c>
      <c r="H102" s="55" t="s">
        <v>706</v>
      </c>
      <c r="I102" s="55" t="s">
        <v>298</v>
      </c>
      <c r="J102" s="55"/>
      <c r="K102" s="45">
        <f t="shared" ref="K102:K110" si="7">SUM(L102:Q102)</f>
        <v>169733.46</v>
      </c>
      <c r="L102" s="45">
        <v>25460.02</v>
      </c>
      <c r="M102" s="45"/>
      <c r="N102" s="45"/>
      <c r="O102" s="45"/>
      <c r="P102" s="45">
        <v>144273.44</v>
      </c>
      <c r="Q102" s="99"/>
      <c r="R102" s="46">
        <v>42765</v>
      </c>
      <c r="S102" s="46">
        <v>42737</v>
      </c>
      <c r="T102" s="86" t="str">
        <f>IF(R102-S102&lt;0,(R102-S102)/30.41667,"–")</f>
        <v>–</v>
      </c>
    </row>
    <row r="103" spans="1:20" ht="36" x14ac:dyDescent="0.25">
      <c r="B103" s="92" t="s">
        <v>528</v>
      </c>
      <c r="C103" s="93"/>
      <c r="D103" s="43" t="s">
        <v>529</v>
      </c>
      <c r="E103" s="54" t="s">
        <v>308</v>
      </c>
      <c r="F103" s="55" t="s">
        <v>520</v>
      </c>
      <c r="G103" s="55" t="s">
        <v>349</v>
      </c>
      <c r="H103" s="55" t="s">
        <v>706</v>
      </c>
      <c r="I103" s="55" t="s">
        <v>298</v>
      </c>
      <c r="J103" s="55"/>
      <c r="K103" s="45">
        <f t="shared" si="7"/>
        <v>65250</v>
      </c>
      <c r="L103" s="45">
        <v>9788</v>
      </c>
      <c r="M103" s="45"/>
      <c r="N103" s="45"/>
      <c r="O103" s="45"/>
      <c r="P103" s="45">
        <v>55462</v>
      </c>
      <c r="Q103" s="99"/>
      <c r="R103" s="46">
        <v>42704</v>
      </c>
      <c r="S103" s="46">
        <v>42758</v>
      </c>
      <c r="T103" s="86">
        <f>IF(R103-S103&lt;0,(R103-S103)/30.41667,"–")</f>
        <v>-1.7753422711953675</v>
      </c>
    </row>
    <row r="104" spans="1:20" ht="36" x14ac:dyDescent="0.25">
      <c r="B104" s="92" t="s">
        <v>530</v>
      </c>
      <c r="C104" s="93"/>
      <c r="D104" s="43" t="s">
        <v>531</v>
      </c>
      <c r="E104" s="54" t="s">
        <v>328</v>
      </c>
      <c r="F104" s="55" t="s">
        <v>520</v>
      </c>
      <c r="G104" s="55" t="s">
        <v>426</v>
      </c>
      <c r="H104" s="55" t="s">
        <v>706</v>
      </c>
      <c r="I104" s="55" t="s">
        <v>298</v>
      </c>
      <c r="J104" s="55"/>
      <c r="K104" s="45">
        <f t="shared" si="7"/>
        <v>191806.42</v>
      </c>
      <c r="L104" s="45">
        <v>28770.97</v>
      </c>
      <c r="M104" s="45"/>
      <c r="N104" s="45"/>
      <c r="O104" s="45"/>
      <c r="P104" s="45">
        <v>163035.45000000001</v>
      </c>
      <c r="Q104" s="99"/>
      <c r="R104" s="46">
        <v>42705</v>
      </c>
      <c r="S104" s="46">
        <v>42705</v>
      </c>
      <c r="T104" s="86" t="str">
        <f>IF(R104-S104&lt;0,(R104-S104)/30.41667,"–")</f>
        <v>–</v>
      </c>
    </row>
    <row r="105" spans="1:20" ht="60" x14ac:dyDescent="0.25">
      <c r="B105" s="92" t="s">
        <v>532</v>
      </c>
      <c r="C105" s="93"/>
      <c r="D105" s="43" t="s">
        <v>533</v>
      </c>
      <c r="E105" s="54" t="s">
        <v>534</v>
      </c>
      <c r="F105" s="55" t="s">
        <v>520</v>
      </c>
      <c r="G105" s="55" t="s">
        <v>390</v>
      </c>
      <c r="H105" s="55" t="s">
        <v>706</v>
      </c>
      <c r="I105" s="55" t="s">
        <v>298</v>
      </c>
      <c r="J105" s="55"/>
      <c r="K105" s="45">
        <f t="shared" si="7"/>
        <v>905836.09</v>
      </c>
      <c r="L105" s="45">
        <v>680455.98</v>
      </c>
      <c r="M105" s="45"/>
      <c r="N105" s="45"/>
      <c r="O105" s="45"/>
      <c r="P105" s="45">
        <v>225380.11</v>
      </c>
      <c r="Q105" s="99"/>
      <c r="R105" s="46">
        <v>42824</v>
      </c>
      <c r="S105" s="46">
        <v>42797</v>
      </c>
      <c r="T105" s="86" t="str">
        <f>IF(R105-S105&lt;0,(R105-S105)/30.41667,"–")</f>
        <v>–</v>
      </c>
    </row>
    <row r="106" spans="1:20" x14ac:dyDescent="0.25">
      <c r="B106" s="105" t="s">
        <v>535</v>
      </c>
      <c r="C106" s="100"/>
      <c r="D106" s="391" t="s">
        <v>536</v>
      </c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</row>
    <row r="107" spans="1:20" ht="24" x14ac:dyDescent="0.25">
      <c r="B107" s="92" t="s">
        <v>537</v>
      </c>
      <c r="C107" s="93"/>
      <c r="D107" s="43" t="s">
        <v>773</v>
      </c>
      <c r="E107" s="54" t="s">
        <v>294</v>
      </c>
      <c r="F107" s="55" t="s">
        <v>520</v>
      </c>
      <c r="G107" s="55" t="s">
        <v>539</v>
      </c>
      <c r="H107" s="55" t="s">
        <v>540</v>
      </c>
      <c r="I107" s="55" t="s">
        <v>298</v>
      </c>
      <c r="J107" s="55"/>
      <c r="K107" s="45">
        <f t="shared" si="7"/>
        <v>557789.41</v>
      </c>
      <c r="L107" s="45">
        <v>83668.41</v>
      </c>
      <c r="M107" s="64"/>
      <c r="N107" s="45"/>
      <c r="O107" s="45"/>
      <c r="P107" s="45">
        <v>474121</v>
      </c>
      <c r="Q107" s="99"/>
      <c r="R107" s="46">
        <v>42551</v>
      </c>
      <c r="S107" s="46">
        <v>42548</v>
      </c>
      <c r="T107" s="86" t="str">
        <f>IF(R107-S107&lt;0,(R107-S107)/30.41667,"–")</f>
        <v>–</v>
      </c>
    </row>
    <row r="108" spans="1:20" ht="24" x14ac:dyDescent="0.25">
      <c r="B108" s="92" t="s">
        <v>543</v>
      </c>
      <c r="C108" s="93"/>
      <c r="D108" s="43" t="s">
        <v>544</v>
      </c>
      <c r="E108" s="54" t="s">
        <v>308</v>
      </c>
      <c r="F108" s="55" t="s">
        <v>520</v>
      </c>
      <c r="G108" s="55" t="s">
        <v>545</v>
      </c>
      <c r="H108" s="55" t="s">
        <v>540</v>
      </c>
      <c r="I108" s="55" t="s">
        <v>298</v>
      </c>
      <c r="J108" s="55"/>
      <c r="K108" s="45">
        <f t="shared" si="7"/>
        <v>203981.18</v>
      </c>
      <c r="L108" s="45">
        <v>30597.18</v>
      </c>
      <c r="M108" s="64"/>
      <c r="N108" s="45"/>
      <c r="O108" s="45"/>
      <c r="P108" s="45">
        <v>173384</v>
      </c>
      <c r="Q108" s="99"/>
      <c r="R108" s="46">
        <v>42551</v>
      </c>
      <c r="S108" s="46">
        <v>42569</v>
      </c>
      <c r="T108" s="86">
        <f>IF(R108-S108&lt;0,(R108-S108)/30.41667,"–")</f>
        <v>-0.59178075706512256</v>
      </c>
    </row>
    <row r="109" spans="1:20" ht="24" x14ac:dyDescent="0.25">
      <c r="B109" s="92" t="s">
        <v>546</v>
      </c>
      <c r="C109" s="93"/>
      <c r="D109" s="43" t="s">
        <v>547</v>
      </c>
      <c r="E109" s="54" t="s">
        <v>328</v>
      </c>
      <c r="F109" s="55" t="s">
        <v>520</v>
      </c>
      <c r="G109" s="55" t="s">
        <v>356</v>
      </c>
      <c r="H109" s="55" t="s">
        <v>540</v>
      </c>
      <c r="I109" s="55" t="s">
        <v>298</v>
      </c>
      <c r="J109" s="55"/>
      <c r="K109" s="45">
        <f t="shared" si="7"/>
        <v>297848.24</v>
      </c>
      <c r="L109" s="45">
        <v>44677.24</v>
      </c>
      <c r="M109" s="64"/>
      <c r="N109" s="45"/>
      <c r="O109" s="45"/>
      <c r="P109" s="45">
        <v>253171</v>
      </c>
      <c r="Q109" s="99"/>
      <c r="R109" s="46">
        <v>42536</v>
      </c>
      <c r="S109" s="46">
        <v>42563</v>
      </c>
      <c r="T109" s="86">
        <f>IF(R109-S109&lt;0,(R109-S109)/30.41667,"–")</f>
        <v>-0.88767113559768374</v>
      </c>
    </row>
    <row r="110" spans="1:20" ht="24" x14ac:dyDescent="0.25">
      <c r="B110" s="92" t="s">
        <v>549</v>
      </c>
      <c r="C110" s="93"/>
      <c r="D110" s="43" t="s">
        <v>550</v>
      </c>
      <c r="E110" s="54" t="s">
        <v>304</v>
      </c>
      <c r="F110" s="55" t="s">
        <v>520</v>
      </c>
      <c r="G110" s="55" t="s">
        <v>390</v>
      </c>
      <c r="H110" s="55" t="s">
        <v>540</v>
      </c>
      <c r="I110" s="55" t="s">
        <v>298</v>
      </c>
      <c r="J110" s="55"/>
      <c r="K110" s="45">
        <f t="shared" si="7"/>
        <v>1467581.1764705882</v>
      </c>
      <c r="L110" s="45">
        <v>220137.17647058822</v>
      </c>
      <c r="M110" s="64"/>
      <c r="N110" s="45"/>
      <c r="O110" s="45"/>
      <c r="P110" s="45">
        <v>1247444</v>
      </c>
      <c r="Q110" s="99"/>
      <c r="R110" s="46">
        <v>42551</v>
      </c>
      <c r="S110" s="46">
        <v>42573</v>
      </c>
      <c r="T110" s="86">
        <f>IF(R110-S110&lt;0,(R110-S110)/30.41667,"–")</f>
        <v>-0.72328759196848302</v>
      </c>
    </row>
    <row r="111" spans="1:20" ht="15" customHeight="1" x14ac:dyDescent="0.25">
      <c r="B111" s="101" t="s">
        <v>669</v>
      </c>
      <c r="C111" s="102"/>
      <c r="D111" s="387" t="s">
        <v>552</v>
      </c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</row>
    <row r="112" spans="1:20" ht="15" customHeight="1" x14ac:dyDescent="0.25">
      <c r="B112" s="101" t="s">
        <v>670</v>
      </c>
      <c r="C112" s="102"/>
      <c r="D112" s="387" t="s">
        <v>553</v>
      </c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</row>
    <row r="113" spans="2:20" ht="15" customHeight="1" x14ac:dyDescent="0.25">
      <c r="B113" s="105" t="s">
        <v>554</v>
      </c>
      <c r="C113" s="100"/>
      <c r="D113" s="386" t="s">
        <v>555</v>
      </c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/>
    </row>
    <row r="114" spans="2:20" ht="36" x14ac:dyDescent="0.25">
      <c r="B114" s="92" t="s">
        <v>556</v>
      </c>
      <c r="C114" s="93"/>
      <c r="D114" s="43" t="s">
        <v>557</v>
      </c>
      <c r="E114" s="54" t="s">
        <v>308</v>
      </c>
      <c r="F114" s="55" t="s">
        <v>295</v>
      </c>
      <c r="G114" s="55" t="s">
        <v>433</v>
      </c>
      <c r="H114" s="55" t="s">
        <v>558</v>
      </c>
      <c r="I114" s="55" t="s">
        <v>298</v>
      </c>
      <c r="J114" s="55"/>
      <c r="K114" s="45">
        <f t="shared" ref="K114:K115" si="8">SUM(L114:Q114)</f>
        <v>510000</v>
      </c>
      <c r="L114" s="73">
        <v>76500</v>
      </c>
      <c r="M114" s="99"/>
      <c r="N114" s="49"/>
      <c r="O114" s="49"/>
      <c r="P114" s="49">
        <v>433500</v>
      </c>
      <c r="Q114" s="73"/>
      <c r="R114" s="46">
        <v>43070</v>
      </c>
      <c r="S114" s="46">
        <v>43102</v>
      </c>
      <c r="T114" s="86">
        <f>IF(R114-S114&lt;0,(R114-S114)/30.41667,"–")</f>
        <v>-1.0520546792268846</v>
      </c>
    </row>
    <row r="115" spans="2:20" ht="36" x14ac:dyDescent="0.25">
      <c r="B115" s="92" t="s">
        <v>563</v>
      </c>
      <c r="C115" s="93"/>
      <c r="D115" s="43" t="s">
        <v>564</v>
      </c>
      <c r="E115" s="54" t="s">
        <v>308</v>
      </c>
      <c r="F115" s="55" t="s">
        <v>295</v>
      </c>
      <c r="G115" s="55" t="s">
        <v>433</v>
      </c>
      <c r="H115" s="55" t="s">
        <v>558</v>
      </c>
      <c r="I115" s="55" t="s">
        <v>298</v>
      </c>
      <c r="J115" s="55"/>
      <c r="K115" s="45">
        <f t="shared" si="8"/>
        <v>421508</v>
      </c>
      <c r="L115" s="73">
        <v>63227</v>
      </c>
      <c r="M115" s="73"/>
      <c r="N115" s="49"/>
      <c r="O115" s="49"/>
      <c r="P115" s="49">
        <v>358281</v>
      </c>
      <c r="Q115" s="73"/>
      <c r="R115" s="46">
        <v>43525</v>
      </c>
      <c r="S115" s="93"/>
      <c r="T115" s="93"/>
    </row>
    <row r="116" spans="2:20" ht="15" customHeight="1" x14ac:dyDescent="0.25">
      <c r="B116" s="101" t="s">
        <v>671</v>
      </c>
      <c r="C116" s="102"/>
      <c r="D116" s="387" t="s">
        <v>661</v>
      </c>
      <c r="E116" s="387"/>
      <c r="F116" s="387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</row>
    <row r="117" spans="2:20" ht="15" customHeight="1" x14ac:dyDescent="0.25">
      <c r="B117" s="101" t="s">
        <v>672</v>
      </c>
      <c r="C117" s="102"/>
      <c r="D117" s="387" t="s">
        <v>567</v>
      </c>
      <c r="E117" s="387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</row>
    <row r="118" spans="2:20" ht="15" customHeight="1" x14ac:dyDescent="0.25">
      <c r="B118" s="101" t="s">
        <v>673</v>
      </c>
      <c r="C118" s="102"/>
      <c r="D118" s="387" t="s">
        <v>568</v>
      </c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</row>
    <row r="119" spans="2:20" ht="15" customHeight="1" x14ac:dyDescent="0.25">
      <c r="B119" s="105" t="s">
        <v>569</v>
      </c>
      <c r="C119" s="100"/>
      <c r="D119" s="386" t="s">
        <v>570</v>
      </c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/>
    </row>
    <row r="120" spans="2:20" ht="36" x14ac:dyDescent="0.25">
      <c r="B120" s="92" t="s">
        <v>571</v>
      </c>
      <c r="C120" s="93"/>
      <c r="D120" s="43" t="s">
        <v>572</v>
      </c>
      <c r="E120" s="54" t="s">
        <v>573</v>
      </c>
      <c r="F120" s="55" t="s">
        <v>574</v>
      </c>
      <c r="G120" s="55" t="s">
        <v>575</v>
      </c>
      <c r="H120" s="55" t="s">
        <v>576</v>
      </c>
      <c r="I120" s="55" t="s">
        <v>298</v>
      </c>
      <c r="J120" s="57"/>
      <c r="K120" s="45">
        <f t="shared" ref="K120:K129" si="9">SUM(L120:Q120)</f>
        <v>1538175.43</v>
      </c>
      <c r="L120" s="45">
        <v>350264.18</v>
      </c>
      <c r="M120" s="45"/>
      <c r="N120" s="45"/>
      <c r="O120" s="45"/>
      <c r="P120" s="45">
        <v>1187911.25</v>
      </c>
      <c r="Q120" s="99"/>
      <c r="R120" s="295">
        <v>42673</v>
      </c>
      <c r="S120" s="46">
        <v>42657</v>
      </c>
      <c r="T120" s="86" t="str">
        <f t="shared" ref="T120:T125" si="10">IF(R120-S120&lt;0,(R120-S120)/30.41667,"–")</f>
        <v>–</v>
      </c>
    </row>
    <row r="121" spans="2:20" ht="48" x14ac:dyDescent="0.25">
      <c r="B121" s="92" t="s">
        <v>584</v>
      </c>
      <c r="C121" s="93"/>
      <c r="D121" s="47" t="s">
        <v>585</v>
      </c>
      <c r="E121" s="53" t="s">
        <v>586</v>
      </c>
      <c r="F121" s="53" t="s">
        <v>574</v>
      </c>
      <c r="G121" s="53" t="s">
        <v>545</v>
      </c>
      <c r="H121" s="53" t="s">
        <v>576</v>
      </c>
      <c r="I121" s="53" t="s">
        <v>298</v>
      </c>
      <c r="J121" s="52"/>
      <c r="K121" s="45">
        <f t="shared" si="9"/>
        <v>617660.84</v>
      </c>
      <c r="L121" s="49">
        <v>262385.8</v>
      </c>
      <c r="M121" s="45"/>
      <c r="N121" s="49"/>
      <c r="O121" s="49"/>
      <c r="P121" s="49">
        <v>355275.04</v>
      </c>
      <c r="Q121" s="99"/>
      <c r="R121" s="295">
        <v>42658</v>
      </c>
      <c r="S121" s="46">
        <v>42650</v>
      </c>
      <c r="T121" s="86" t="str">
        <f t="shared" si="10"/>
        <v>–</v>
      </c>
    </row>
    <row r="122" spans="2:20" ht="36" x14ac:dyDescent="0.25">
      <c r="B122" s="92" t="s">
        <v>589</v>
      </c>
      <c r="C122" s="93"/>
      <c r="D122" s="47" t="s">
        <v>590</v>
      </c>
      <c r="E122" s="53" t="s">
        <v>591</v>
      </c>
      <c r="F122" s="53" t="s">
        <v>574</v>
      </c>
      <c r="G122" s="53" t="s">
        <v>426</v>
      </c>
      <c r="H122" s="53" t="s">
        <v>576</v>
      </c>
      <c r="I122" s="53" t="s">
        <v>298</v>
      </c>
      <c r="J122" s="52"/>
      <c r="K122" s="45">
        <f t="shared" si="9"/>
        <v>1902679.07</v>
      </c>
      <c r="L122" s="49">
        <v>743921.52</v>
      </c>
      <c r="M122" s="45"/>
      <c r="N122" s="49"/>
      <c r="O122" s="49"/>
      <c r="P122" s="49">
        <v>1158757.55</v>
      </c>
      <c r="Q122" s="99"/>
      <c r="R122" s="295">
        <v>42658</v>
      </c>
      <c r="S122" s="46">
        <v>42646</v>
      </c>
      <c r="T122" s="86" t="str">
        <f t="shared" si="10"/>
        <v>–</v>
      </c>
    </row>
    <row r="123" spans="2:20" ht="36" x14ac:dyDescent="0.25">
      <c r="B123" s="92" t="s">
        <v>594</v>
      </c>
      <c r="C123" s="93"/>
      <c r="D123" s="47" t="s">
        <v>595</v>
      </c>
      <c r="E123" s="53" t="s">
        <v>596</v>
      </c>
      <c r="F123" s="53" t="s">
        <v>574</v>
      </c>
      <c r="G123" s="53" t="s">
        <v>390</v>
      </c>
      <c r="H123" s="53" t="s">
        <v>576</v>
      </c>
      <c r="I123" s="53" t="s">
        <v>298</v>
      </c>
      <c r="J123" s="52"/>
      <c r="K123" s="45">
        <f t="shared" si="9"/>
        <v>2854494.11</v>
      </c>
      <c r="L123" s="49">
        <v>603558.57999999996</v>
      </c>
      <c r="M123" s="45"/>
      <c r="N123" s="49">
        <v>603558.57999999996</v>
      </c>
      <c r="O123" s="49"/>
      <c r="P123" s="49">
        <v>1647376.95</v>
      </c>
      <c r="Q123" s="99"/>
      <c r="R123" s="295">
        <v>42704</v>
      </c>
      <c r="S123" s="46">
        <v>42704</v>
      </c>
      <c r="T123" s="86" t="str">
        <f t="shared" si="10"/>
        <v>–</v>
      </c>
    </row>
    <row r="124" spans="2:20" ht="36" x14ac:dyDescent="0.25">
      <c r="B124" s="92" t="s">
        <v>598</v>
      </c>
      <c r="C124" s="93"/>
      <c r="D124" s="47" t="s">
        <v>599</v>
      </c>
      <c r="E124" s="53" t="s">
        <v>573</v>
      </c>
      <c r="F124" s="53" t="s">
        <v>574</v>
      </c>
      <c r="G124" s="53" t="s">
        <v>575</v>
      </c>
      <c r="H124" s="53" t="s">
        <v>576</v>
      </c>
      <c r="I124" s="53" t="s">
        <v>298</v>
      </c>
      <c r="J124" s="48"/>
      <c r="K124" s="45">
        <f t="shared" si="9"/>
        <v>444870</v>
      </c>
      <c r="L124" s="49">
        <v>320131.20000000001</v>
      </c>
      <c r="M124" s="45"/>
      <c r="N124" s="49"/>
      <c r="O124" s="49"/>
      <c r="P124" s="49">
        <v>124738.8</v>
      </c>
      <c r="Q124" s="94"/>
      <c r="R124" s="295">
        <v>43281</v>
      </c>
      <c r="S124" s="46">
        <v>43276</v>
      </c>
      <c r="T124" s="86" t="str">
        <f t="shared" si="10"/>
        <v>–</v>
      </c>
    </row>
    <row r="125" spans="2:20" ht="48" x14ac:dyDescent="0.25">
      <c r="B125" s="92" t="s">
        <v>600</v>
      </c>
      <c r="C125" s="93"/>
      <c r="D125" s="47" t="s">
        <v>601</v>
      </c>
      <c r="E125" s="53" t="s">
        <v>586</v>
      </c>
      <c r="F125" s="53" t="s">
        <v>574</v>
      </c>
      <c r="G125" s="53" t="s">
        <v>545</v>
      </c>
      <c r="H125" s="53" t="s">
        <v>576</v>
      </c>
      <c r="I125" s="53" t="s">
        <v>298</v>
      </c>
      <c r="J125" s="48"/>
      <c r="K125" s="45">
        <f t="shared" si="9"/>
        <v>136161.48000000001</v>
      </c>
      <c r="L125" s="49">
        <v>29723.21</v>
      </c>
      <c r="M125" s="45"/>
      <c r="N125" s="49"/>
      <c r="O125" s="49"/>
      <c r="P125" s="49">
        <v>106438.27</v>
      </c>
      <c r="Q125" s="94"/>
      <c r="R125" s="295">
        <v>43220</v>
      </c>
      <c r="S125" s="46">
        <v>43220</v>
      </c>
      <c r="T125" s="86" t="str">
        <f t="shared" si="10"/>
        <v>–</v>
      </c>
    </row>
    <row r="126" spans="2:20" ht="36" x14ac:dyDescent="0.25">
      <c r="B126" s="92" t="s">
        <v>602</v>
      </c>
      <c r="C126" s="93"/>
      <c r="D126" s="47" t="s">
        <v>603</v>
      </c>
      <c r="E126" s="53" t="s">
        <v>591</v>
      </c>
      <c r="F126" s="53" t="s">
        <v>574</v>
      </c>
      <c r="G126" s="53" t="s">
        <v>426</v>
      </c>
      <c r="H126" s="53" t="s">
        <v>576</v>
      </c>
      <c r="I126" s="53" t="s">
        <v>298</v>
      </c>
      <c r="J126" s="48"/>
      <c r="K126" s="45">
        <f t="shared" si="9"/>
        <v>548947.86</v>
      </c>
      <c r="L126" s="49">
        <v>274473.93</v>
      </c>
      <c r="M126" s="45"/>
      <c r="N126" s="49"/>
      <c r="O126" s="49"/>
      <c r="P126" s="49">
        <v>274473.93</v>
      </c>
      <c r="Q126" s="94"/>
      <c r="R126" s="295">
        <v>43342</v>
      </c>
      <c r="S126" s="46"/>
      <c r="T126" s="86">
        <v>-1</v>
      </c>
    </row>
    <row r="127" spans="2:20" ht="36" x14ac:dyDescent="0.25">
      <c r="B127" s="92" t="s">
        <v>604</v>
      </c>
      <c r="C127" s="93"/>
      <c r="D127" s="47" t="s">
        <v>605</v>
      </c>
      <c r="E127" s="53" t="s">
        <v>596</v>
      </c>
      <c r="F127" s="53" t="s">
        <v>574</v>
      </c>
      <c r="G127" s="53" t="s">
        <v>320</v>
      </c>
      <c r="H127" s="53" t="s">
        <v>576</v>
      </c>
      <c r="I127" s="53" t="s">
        <v>298</v>
      </c>
      <c r="J127" s="48"/>
      <c r="K127" s="45">
        <f t="shared" si="9"/>
        <v>646255.83000000007</v>
      </c>
      <c r="L127" s="73">
        <v>150423.45000000001</v>
      </c>
      <c r="M127" s="73"/>
      <c r="N127" s="73">
        <v>150423.45000000001</v>
      </c>
      <c r="O127" s="73"/>
      <c r="P127" s="73">
        <v>345408.93</v>
      </c>
      <c r="Q127" s="94"/>
      <c r="R127" s="295">
        <v>43342</v>
      </c>
      <c r="S127" s="46"/>
      <c r="T127" s="86">
        <v>-1</v>
      </c>
    </row>
    <row r="128" spans="2:20" ht="15" customHeight="1" x14ac:dyDescent="0.25">
      <c r="B128" s="105" t="s">
        <v>606</v>
      </c>
      <c r="C128" s="100"/>
      <c r="D128" s="386" t="s">
        <v>607</v>
      </c>
      <c r="E128" s="386"/>
      <c r="F128" s="386"/>
      <c r="G128" s="386"/>
      <c r="H128" s="386"/>
      <c r="I128" s="386"/>
      <c r="J128" s="386"/>
      <c r="K128" s="386"/>
      <c r="L128" s="386"/>
      <c r="M128" s="386"/>
      <c r="N128" s="386"/>
      <c r="O128" s="386"/>
      <c r="P128" s="386"/>
      <c r="Q128" s="386"/>
      <c r="R128" s="386"/>
      <c r="S128" s="386"/>
      <c r="T128" s="386"/>
    </row>
    <row r="129" spans="2:20" ht="36" x14ac:dyDescent="0.25">
      <c r="B129" s="92" t="s">
        <v>608</v>
      </c>
      <c r="C129" s="93"/>
      <c r="D129" s="43" t="s">
        <v>609</v>
      </c>
      <c r="E129" s="54" t="s">
        <v>596</v>
      </c>
      <c r="F129" s="55" t="s">
        <v>574</v>
      </c>
      <c r="G129" s="55" t="s">
        <v>390</v>
      </c>
      <c r="H129" s="55" t="s">
        <v>610</v>
      </c>
      <c r="I129" s="55" t="s">
        <v>298</v>
      </c>
      <c r="J129" s="57"/>
      <c r="K129" s="45">
        <f t="shared" si="9"/>
        <v>1681106.52</v>
      </c>
      <c r="L129" s="45">
        <v>252165.98</v>
      </c>
      <c r="M129" s="45"/>
      <c r="N129" s="45"/>
      <c r="O129" s="45"/>
      <c r="P129" s="45">
        <v>1428940.54</v>
      </c>
      <c r="Q129" s="99"/>
      <c r="R129" s="46">
        <v>42705</v>
      </c>
      <c r="S129" s="46">
        <v>42704</v>
      </c>
      <c r="T129" s="86" t="str">
        <f>IF(R129-S129&lt;0,(R129-S129)/30.41667,"–")</f>
        <v>–</v>
      </c>
    </row>
    <row r="130" spans="2:20" ht="15" customHeight="1" x14ac:dyDescent="0.25">
      <c r="B130" s="101" t="s">
        <v>674</v>
      </c>
      <c r="C130" s="102"/>
      <c r="D130" s="387" t="s">
        <v>615</v>
      </c>
      <c r="E130" s="387"/>
      <c r="F130" s="387"/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</row>
    <row r="131" spans="2:20" ht="15" customHeight="1" x14ac:dyDescent="0.25">
      <c r="B131" s="105" t="s">
        <v>616</v>
      </c>
      <c r="C131" s="100"/>
      <c r="D131" s="386" t="s">
        <v>617</v>
      </c>
      <c r="E131" s="386"/>
      <c r="F131" s="386"/>
      <c r="G131" s="386"/>
      <c r="H131" s="386"/>
      <c r="I131" s="386"/>
      <c r="J131" s="386"/>
      <c r="K131" s="386"/>
      <c r="L131" s="386"/>
      <c r="M131" s="386"/>
      <c r="N131" s="386"/>
      <c r="O131" s="386"/>
      <c r="P131" s="386"/>
      <c r="Q131" s="386"/>
      <c r="R131" s="386"/>
      <c r="S131" s="386"/>
      <c r="T131" s="386"/>
    </row>
    <row r="132" spans="2:20" ht="24" x14ac:dyDescent="0.25">
      <c r="B132" s="92" t="s">
        <v>618</v>
      </c>
      <c r="C132" s="93"/>
      <c r="D132" s="43" t="s">
        <v>619</v>
      </c>
      <c r="E132" s="54" t="s">
        <v>620</v>
      </c>
      <c r="F132" s="55" t="s">
        <v>574</v>
      </c>
      <c r="G132" s="55" t="s">
        <v>433</v>
      </c>
      <c r="H132" s="55" t="s">
        <v>621</v>
      </c>
      <c r="I132" s="55" t="s">
        <v>298</v>
      </c>
      <c r="J132" s="57"/>
      <c r="K132" s="45">
        <f t="shared" ref="K132" si="11">SUM(L132:Q132)</f>
        <v>2800256.02</v>
      </c>
      <c r="L132" s="45"/>
      <c r="M132" s="45"/>
      <c r="N132" s="45"/>
      <c r="O132" s="45">
        <v>420038.40000000002</v>
      </c>
      <c r="P132" s="45">
        <v>2380217.62</v>
      </c>
      <c r="Q132" s="99"/>
      <c r="R132" s="46">
        <v>42885</v>
      </c>
      <c r="S132" s="46">
        <v>42916</v>
      </c>
      <c r="T132" s="86">
        <f>IF(R132-S132&lt;0,(R132-S132)/30.41667,"–")</f>
        <v>-1.0191779705010444</v>
      </c>
    </row>
    <row r="133" spans="2:20" ht="15" customHeight="1" x14ac:dyDescent="0.25">
      <c r="B133" s="101" t="s">
        <v>675</v>
      </c>
      <c r="C133" s="102"/>
      <c r="D133" s="387" t="s">
        <v>624</v>
      </c>
      <c r="E133" s="387"/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</row>
    <row r="134" spans="2:20" ht="15" customHeight="1" x14ac:dyDescent="0.25">
      <c r="B134" s="101" t="s">
        <v>676</v>
      </c>
      <c r="C134" s="102"/>
      <c r="D134" s="387" t="s">
        <v>625</v>
      </c>
      <c r="E134" s="387"/>
      <c r="F134" s="387"/>
      <c r="G134" s="387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7"/>
      <c r="S134" s="387"/>
      <c r="T134" s="387"/>
    </row>
    <row r="135" spans="2:20" x14ac:dyDescent="0.25">
      <c r="B135" s="105" t="s">
        <v>626</v>
      </c>
      <c r="C135" s="100"/>
      <c r="D135" s="386" t="s">
        <v>627</v>
      </c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/>
      <c r="T135" s="386"/>
    </row>
    <row r="136" spans="2:20" ht="24" x14ac:dyDescent="0.25">
      <c r="B136" s="107" t="s">
        <v>628</v>
      </c>
      <c r="C136" s="93"/>
      <c r="D136" s="47" t="s">
        <v>629</v>
      </c>
      <c r="E136" s="53" t="s">
        <v>308</v>
      </c>
      <c r="F136" s="53" t="s">
        <v>574</v>
      </c>
      <c r="G136" s="53" t="s">
        <v>545</v>
      </c>
      <c r="H136" s="53" t="s">
        <v>630</v>
      </c>
      <c r="I136" s="53" t="s">
        <v>298</v>
      </c>
      <c r="J136" s="53"/>
      <c r="K136" s="45">
        <f t="shared" ref="K136:K142" si="12">SUM(L136:Q136)</f>
        <v>363047.26</v>
      </c>
      <c r="L136" s="49">
        <v>54457.09</v>
      </c>
      <c r="M136" s="49"/>
      <c r="N136" s="49"/>
      <c r="O136" s="49"/>
      <c r="P136" s="49">
        <v>308590.17</v>
      </c>
      <c r="Q136" s="216"/>
      <c r="R136" s="50">
        <v>42824</v>
      </c>
      <c r="S136" s="46">
        <v>42796</v>
      </c>
      <c r="T136" s="86" t="str">
        <f>IF(R136-S136&lt;0,(R136-S136)/30.41667,"–")</f>
        <v>–</v>
      </c>
    </row>
    <row r="137" spans="2:20" ht="24" x14ac:dyDescent="0.25">
      <c r="B137" s="107" t="s">
        <v>639</v>
      </c>
      <c r="C137" s="93"/>
      <c r="D137" s="47" t="s">
        <v>640</v>
      </c>
      <c r="E137" s="53" t="s">
        <v>328</v>
      </c>
      <c r="F137" s="53" t="s">
        <v>574</v>
      </c>
      <c r="G137" s="53" t="s">
        <v>426</v>
      </c>
      <c r="H137" s="53" t="s">
        <v>630</v>
      </c>
      <c r="I137" s="53" t="s">
        <v>298</v>
      </c>
      <c r="J137" s="53"/>
      <c r="K137" s="45">
        <f t="shared" si="12"/>
        <v>53554.71</v>
      </c>
      <c r="L137" s="49">
        <v>8033.21</v>
      </c>
      <c r="M137" s="49"/>
      <c r="N137" s="49"/>
      <c r="O137" s="49"/>
      <c r="P137" s="49">
        <v>45521.5</v>
      </c>
      <c r="Q137" s="216"/>
      <c r="R137" s="50">
        <v>42734</v>
      </c>
      <c r="S137" s="46">
        <v>42734</v>
      </c>
      <c r="T137" s="86" t="str">
        <f>IF(R137-S137&lt;0,(R137-S137)/30.41667,"–")</f>
        <v>–</v>
      </c>
    </row>
    <row r="138" spans="2:20" ht="24" x14ac:dyDescent="0.25">
      <c r="B138" s="107" t="s">
        <v>641</v>
      </c>
      <c r="C138" s="93"/>
      <c r="D138" s="47" t="s">
        <v>642</v>
      </c>
      <c r="E138" s="53" t="s">
        <v>328</v>
      </c>
      <c r="F138" s="53" t="s">
        <v>574</v>
      </c>
      <c r="G138" s="53" t="s">
        <v>426</v>
      </c>
      <c r="H138" s="53" t="s">
        <v>630</v>
      </c>
      <c r="I138" s="53" t="s">
        <v>298</v>
      </c>
      <c r="J138" s="53"/>
      <c r="K138" s="45">
        <f t="shared" si="12"/>
        <v>920732.19</v>
      </c>
      <c r="L138" s="49">
        <v>138109.82</v>
      </c>
      <c r="M138" s="49"/>
      <c r="N138" s="49"/>
      <c r="O138" s="49"/>
      <c r="P138" s="49">
        <v>782622.37</v>
      </c>
      <c r="Q138" s="216"/>
      <c r="R138" s="50">
        <v>43435</v>
      </c>
      <c r="S138" s="46"/>
      <c r="T138" s="86"/>
    </row>
    <row r="139" spans="2:20" ht="24" x14ac:dyDescent="0.25">
      <c r="B139" s="107" t="s">
        <v>645</v>
      </c>
      <c r="C139" s="93"/>
      <c r="D139" s="47" t="s">
        <v>646</v>
      </c>
      <c r="E139" s="53" t="s">
        <v>328</v>
      </c>
      <c r="F139" s="53" t="s">
        <v>574</v>
      </c>
      <c r="G139" s="53" t="s">
        <v>426</v>
      </c>
      <c r="H139" s="53" t="s">
        <v>630</v>
      </c>
      <c r="I139" s="53" t="s">
        <v>298</v>
      </c>
      <c r="J139" s="53" t="s">
        <v>647</v>
      </c>
      <c r="K139" s="45">
        <f t="shared" si="12"/>
        <v>296511.84999999998</v>
      </c>
      <c r="L139" s="49">
        <v>44476.78</v>
      </c>
      <c r="M139" s="49"/>
      <c r="N139" s="49"/>
      <c r="O139" s="49"/>
      <c r="P139" s="49">
        <v>252035.07</v>
      </c>
      <c r="Q139" s="216"/>
      <c r="R139" s="50"/>
      <c r="S139" s="46"/>
      <c r="T139" s="86"/>
    </row>
    <row r="140" spans="2:20" ht="24" x14ac:dyDescent="0.25">
      <c r="B140" s="107" t="s">
        <v>648</v>
      </c>
      <c r="C140" s="93"/>
      <c r="D140" s="47" t="s">
        <v>649</v>
      </c>
      <c r="E140" s="53" t="s">
        <v>304</v>
      </c>
      <c r="F140" s="53" t="s">
        <v>574</v>
      </c>
      <c r="G140" s="53" t="s">
        <v>390</v>
      </c>
      <c r="H140" s="53" t="s">
        <v>630</v>
      </c>
      <c r="I140" s="53" t="s">
        <v>298</v>
      </c>
      <c r="J140" s="53"/>
      <c r="K140" s="45">
        <f t="shared" si="12"/>
        <v>351002.55</v>
      </c>
      <c r="L140" s="49">
        <v>52650.39</v>
      </c>
      <c r="M140" s="49"/>
      <c r="N140" s="49"/>
      <c r="O140" s="49"/>
      <c r="P140" s="49">
        <v>298352.15999999997</v>
      </c>
      <c r="Q140" s="216"/>
      <c r="R140" s="50">
        <v>42705</v>
      </c>
      <c r="S140" s="46">
        <v>42738</v>
      </c>
      <c r="T140" s="86">
        <f>IF(R140-S140&lt;0,(R140-S140)/30.41667,"–")</f>
        <v>-1.0849313879527247</v>
      </c>
    </row>
    <row r="141" spans="2:20" x14ac:dyDescent="0.25">
      <c r="B141" s="107" t="s">
        <v>651</v>
      </c>
      <c r="C141" s="93"/>
      <c r="D141" s="47" t="s">
        <v>652</v>
      </c>
      <c r="E141" s="53" t="s">
        <v>294</v>
      </c>
      <c r="F141" s="53" t="s">
        <v>574</v>
      </c>
      <c r="G141" s="53" t="s">
        <v>575</v>
      </c>
      <c r="H141" s="53" t="s">
        <v>630</v>
      </c>
      <c r="I141" s="53" t="s">
        <v>298</v>
      </c>
      <c r="J141" s="53"/>
      <c r="K141" s="45">
        <f t="shared" si="12"/>
        <v>419348</v>
      </c>
      <c r="L141" s="49">
        <v>62902.2</v>
      </c>
      <c r="M141" s="49"/>
      <c r="N141" s="49"/>
      <c r="O141" s="49"/>
      <c r="P141" s="49">
        <v>356445.8</v>
      </c>
      <c r="Q141" s="216"/>
      <c r="R141" s="50">
        <v>42735</v>
      </c>
      <c r="S141" s="46">
        <v>42732</v>
      </c>
      <c r="T141" s="86" t="str">
        <f>IF(R141-S141&lt;0,(R141-S141)/30.41667,"–")</f>
        <v>–</v>
      </c>
    </row>
    <row r="142" spans="2:20" ht="48" x14ac:dyDescent="0.25">
      <c r="B142" s="107" t="s">
        <v>653</v>
      </c>
      <c r="C142" s="93"/>
      <c r="D142" s="43" t="s">
        <v>654</v>
      </c>
      <c r="E142" s="54" t="s">
        <v>294</v>
      </c>
      <c r="F142" s="55" t="s">
        <v>574</v>
      </c>
      <c r="G142" s="55" t="s">
        <v>575</v>
      </c>
      <c r="H142" s="55" t="s">
        <v>630</v>
      </c>
      <c r="I142" s="55" t="s">
        <v>298</v>
      </c>
      <c r="J142" s="55"/>
      <c r="K142" s="45">
        <f t="shared" si="12"/>
        <v>129411.77</v>
      </c>
      <c r="L142" s="45">
        <v>19411.77</v>
      </c>
      <c r="M142" s="45"/>
      <c r="N142" s="45"/>
      <c r="O142" s="45"/>
      <c r="P142" s="49">
        <v>110000</v>
      </c>
      <c r="Q142" s="216"/>
      <c r="R142" s="46">
        <v>43435</v>
      </c>
      <c r="S142" s="46"/>
      <c r="T142" s="86"/>
    </row>
    <row r="143" spans="2:20" x14ac:dyDescent="0.25">
      <c r="B143" s="298" t="s">
        <v>23</v>
      </c>
      <c r="C143" s="298"/>
      <c r="D143" s="298"/>
      <c r="E143" s="298"/>
      <c r="F143" s="298"/>
      <c r="G143" s="298"/>
      <c r="H143" s="298"/>
      <c r="I143" s="298"/>
      <c r="J143" s="298"/>
      <c r="K143" s="217">
        <f t="shared" ref="K143:P143" si="13">SUM(K12:K142)-K139</f>
        <v>41999733.471764706</v>
      </c>
      <c r="L143" s="217">
        <f t="shared" si="13"/>
        <v>7601671.2241176479</v>
      </c>
      <c r="M143" s="217">
        <f t="shared" si="13"/>
        <v>602344.81764705898</v>
      </c>
      <c r="N143" s="217">
        <f t="shared" si="13"/>
        <v>780124.34999999986</v>
      </c>
      <c r="O143" s="217">
        <f t="shared" si="13"/>
        <v>840163.01</v>
      </c>
      <c r="P143" s="217">
        <f t="shared" si="13"/>
        <v>28854068.070000004</v>
      </c>
      <c r="Q143" s="99"/>
      <c r="R143" s="99"/>
      <c r="S143" s="93"/>
      <c r="T143" s="93"/>
    </row>
    <row r="144" spans="2:20" ht="15.75" x14ac:dyDescent="0.25">
      <c r="B144" s="36" t="s">
        <v>41</v>
      </c>
    </row>
    <row r="145" spans="2:23" ht="15.75" x14ac:dyDescent="0.25">
      <c r="B145" s="36"/>
    </row>
    <row r="146" spans="2:23" ht="15.75" x14ac:dyDescent="0.25">
      <c r="B146" s="36"/>
    </row>
    <row r="147" spans="2:23" ht="15.75" customHeight="1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</sheetData>
  <mergeCells count="50">
    <mergeCell ref="D119:T119"/>
    <mergeCell ref="D112:T112"/>
    <mergeCell ref="D116:T116"/>
    <mergeCell ref="D113:T113"/>
    <mergeCell ref="D117:T117"/>
    <mergeCell ref="D118:T118"/>
    <mergeCell ref="D72:T72"/>
    <mergeCell ref="D77:T77"/>
    <mergeCell ref="D111:T111"/>
    <mergeCell ref="D82:T82"/>
    <mergeCell ref="D100:T100"/>
    <mergeCell ref="D101:T101"/>
    <mergeCell ref="D106:T106"/>
    <mergeCell ref="D56:T56"/>
    <mergeCell ref="D57:T57"/>
    <mergeCell ref="D62:T62"/>
    <mergeCell ref="D67:T67"/>
    <mergeCell ref="D71:T71"/>
    <mergeCell ref="D19:T19"/>
    <mergeCell ref="D51:T51"/>
    <mergeCell ref="D52:T52"/>
    <mergeCell ref="D54:T54"/>
    <mergeCell ref="D55:T55"/>
    <mergeCell ref="D46:T46"/>
    <mergeCell ref="D21:T21"/>
    <mergeCell ref="D24:T24"/>
    <mergeCell ref="D25:T25"/>
    <mergeCell ref="D26:T26"/>
    <mergeCell ref="D32:T32"/>
    <mergeCell ref="D35:T35"/>
    <mergeCell ref="D40:T40"/>
    <mergeCell ref="D42:T42"/>
    <mergeCell ref="D43:T43"/>
    <mergeCell ref="D22:J22"/>
    <mergeCell ref="D17:T17"/>
    <mergeCell ref="S5:T5"/>
    <mergeCell ref="B6:J6"/>
    <mergeCell ref="K6:Q6"/>
    <mergeCell ref="R6:T6"/>
    <mergeCell ref="D8:T8"/>
    <mergeCell ref="D9:T9"/>
    <mergeCell ref="D10:T10"/>
    <mergeCell ref="D11:T11"/>
    <mergeCell ref="D14:T14"/>
    <mergeCell ref="D135:T135"/>
    <mergeCell ref="D128:T128"/>
    <mergeCell ref="D130:T130"/>
    <mergeCell ref="D131:T131"/>
    <mergeCell ref="D133:T133"/>
    <mergeCell ref="D134:T134"/>
  </mergeCells>
  <pageMargins left="0.11811023622047245" right="0.11811023622047245" top="0.15748031496062992" bottom="0.15748031496062992" header="0" footer="0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47"/>
  <sheetViews>
    <sheetView topLeftCell="F22" zoomScale="95" zoomScaleNormal="95" workbookViewId="0">
      <selection activeCell="P37" sqref="P37"/>
    </sheetView>
  </sheetViews>
  <sheetFormatPr defaultRowHeight="15" x14ac:dyDescent="0.25"/>
  <cols>
    <col min="1" max="1" width="4.28515625" style="6" customWidth="1"/>
    <col min="2" max="2" width="9.140625" style="6"/>
    <col min="3" max="3" width="17.42578125" style="6" customWidth="1"/>
    <col min="4" max="4" width="31.5703125" style="6" customWidth="1"/>
    <col min="5" max="5" width="13.7109375" style="6" customWidth="1"/>
    <col min="6" max="6" width="10.85546875" style="6" customWidth="1"/>
    <col min="7" max="7" width="11.7109375" style="6" customWidth="1"/>
    <col min="8" max="8" width="19.42578125" style="6" customWidth="1"/>
    <col min="9" max="9" width="6.5703125" style="6" customWidth="1"/>
    <col min="10" max="10" width="7.85546875" style="6" customWidth="1"/>
    <col min="11" max="11" width="12.140625" style="6" customWidth="1"/>
    <col min="12" max="12" width="12.28515625" style="6" customWidth="1"/>
    <col min="13" max="13" width="9.5703125" style="6" customWidth="1"/>
    <col min="14" max="15" width="10" style="6" customWidth="1"/>
    <col min="16" max="16" width="12.5703125" style="6" customWidth="1"/>
    <col min="17" max="17" width="10.42578125" style="6" customWidth="1"/>
    <col min="18" max="19" width="9.28515625" style="6" bestFit="1" customWidth="1"/>
    <col min="20" max="20" width="11.42578125" style="6" customWidth="1"/>
    <col min="21" max="22" width="12" style="314" hidden="1" customWidth="1"/>
    <col min="23" max="23" width="11.28515625" style="314" hidden="1" customWidth="1"/>
    <col min="24" max="25" width="9.140625" style="314" hidden="1" customWidth="1"/>
    <col min="26" max="26" width="9.140625" style="6" customWidth="1"/>
    <col min="27" max="16384" width="9.140625" style="6"/>
  </cols>
  <sheetData>
    <row r="1" spans="2:25" ht="15.75" x14ac:dyDescent="0.25">
      <c r="K1" s="36"/>
      <c r="L1" s="36"/>
      <c r="M1" s="36"/>
      <c r="O1" s="36"/>
      <c r="P1" s="36"/>
      <c r="R1" s="397" t="s">
        <v>120</v>
      </c>
      <c r="S1" s="397"/>
      <c r="T1" s="397"/>
      <c r="U1" s="313"/>
      <c r="V1" s="313"/>
    </row>
    <row r="2" spans="2:25" ht="15.75" x14ac:dyDescent="0.25">
      <c r="K2" s="36"/>
      <c r="L2" s="36"/>
      <c r="M2" s="36"/>
      <c r="O2" s="36"/>
      <c r="P2" s="36"/>
      <c r="R2" s="351" t="s">
        <v>0</v>
      </c>
      <c r="S2" s="351"/>
      <c r="T2" s="351"/>
      <c r="U2" s="313"/>
      <c r="V2" s="313"/>
    </row>
    <row r="3" spans="2:25" ht="15.75" x14ac:dyDescent="0.25">
      <c r="K3" s="36"/>
      <c r="L3" s="36"/>
      <c r="M3" s="36"/>
      <c r="O3" s="36"/>
      <c r="P3" s="36"/>
      <c r="R3" s="351" t="s">
        <v>12</v>
      </c>
      <c r="S3" s="351"/>
      <c r="T3" s="351"/>
      <c r="U3" s="313"/>
      <c r="V3" s="313"/>
    </row>
    <row r="4" spans="2:25" ht="15.75" x14ac:dyDescent="0.25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15"/>
      <c r="V4" s="315"/>
      <c r="W4" s="315"/>
    </row>
    <row r="5" spans="2:25" ht="15.75" x14ac:dyDescent="0.25">
      <c r="B5" s="207" t="s">
        <v>46</v>
      </c>
      <c r="C5" s="208"/>
      <c r="D5" s="208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385"/>
      <c r="T5" s="385"/>
      <c r="U5" s="316"/>
      <c r="V5" s="316"/>
      <c r="W5" s="316"/>
      <c r="X5" s="317"/>
      <c r="Y5" s="317"/>
    </row>
    <row r="6" spans="2:25" ht="25.5" customHeight="1" x14ac:dyDescent="0.25">
      <c r="B6" s="378" t="s">
        <v>14</v>
      </c>
      <c r="C6" s="378"/>
      <c r="D6" s="378"/>
      <c r="E6" s="378"/>
      <c r="F6" s="378"/>
      <c r="G6" s="378"/>
      <c r="H6" s="378"/>
      <c r="I6" s="378"/>
      <c r="J6" s="378"/>
      <c r="K6" s="378" t="s">
        <v>15</v>
      </c>
      <c r="L6" s="378"/>
      <c r="M6" s="378"/>
      <c r="N6" s="378"/>
      <c r="O6" s="378"/>
      <c r="P6" s="378"/>
      <c r="Q6" s="378"/>
      <c r="R6" s="378" t="s">
        <v>47</v>
      </c>
      <c r="S6" s="378"/>
      <c r="T6" s="378"/>
      <c r="U6" s="394" t="s">
        <v>677</v>
      </c>
      <c r="V6" s="395"/>
      <c r="W6" s="395"/>
      <c r="X6" s="395"/>
      <c r="Y6" s="396"/>
    </row>
    <row r="7" spans="2:25" ht="90" customHeight="1" x14ac:dyDescent="0.25">
      <c r="B7" s="200" t="s">
        <v>4</v>
      </c>
      <c r="C7" s="200" t="s">
        <v>114</v>
      </c>
      <c r="D7" s="200" t="s">
        <v>17</v>
      </c>
      <c r="E7" s="96" t="s">
        <v>121</v>
      </c>
      <c r="F7" s="200" t="s">
        <v>18</v>
      </c>
      <c r="G7" s="200" t="s">
        <v>19</v>
      </c>
      <c r="H7" s="200" t="s">
        <v>20</v>
      </c>
      <c r="I7" s="200" t="s">
        <v>44</v>
      </c>
      <c r="J7" s="200" t="s">
        <v>45</v>
      </c>
      <c r="K7" s="200" t="s">
        <v>23</v>
      </c>
      <c r="L7" s="200" t="s">
        <v>24</v>
      </c>
      <c r="M7" s="200" t="s">
        <v>25</v>
      </c>
      <c r="N7" s="200" t="s">
        <v>26</v>
      </c>
      <c r="O7" s="200" t="s">
        <v>27</v>
      </c>
      <c r="P7" s="200" t="s">
        <v>28</v>
      </c>
      <c r="Q7" s="96" t="s">
        <v>122</v>
      </c>
      <c r="R7" s="200" t="s">
        <v>29</v>
      </c>
      <c r="S7" s="200" t="s">
        <v>30</v>
      </c>
      <c r="T7" s="200" t="s">
        <v>31</v>
      </c>
      <c r="U7" s="318">
        <v>2016</v>
      </c>
      <c r="V7" s="318">
        <v>2017</v>
      </c>
      <c r="W7" s="318">
        <v>2018</v>
      </c>
      <c r="X7" s="319">
        <v>2019</v>
      </c>
      <c r="Y7" s="319">
        <v>2020</v>
      </c>
    </row>
    <row r="8" spans="2:25" ht="15.75" customHeight="1" x14ac:dyDescent="0.25">
      <c r="B8" s="97" t="s">
        <v>32</v>
      </c>
      <c r="C8" s="97"/>
      <c r="D8" s="359" t="s">
        <v>655</v>
      </c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1"/>
      <c r="U8" s="320"/>
      <c r="V8" s="320"/>
      <c r="W8" s="320"/>
      <c r="X8" s="320"/>
      <c r="Y8" s="320"/>
    </row>
    <row r="9" spans="2:25" ht="15" customHeight="1" x14ac:dyDescent="0.25">
      <c r="B9" s="97" t="s">
        <v>33</v>
      </c>
      <c r="C9" s="97"/>
      <c r="D9" s="359" t="s">
        <v>290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1"/>
      <c r="U9" s="320"/>
      <c r="V9" s="320"/>
      <c r="W9" s="320"/>
      <c r="X9" s="320"/>
      <c r="Y9" s="320"/>
    </row>
    <row r="10" spans="2:25" ht="15" customHeight="1" x14ac:dyDescent="0.25">
      <c r="B10" s="97" t="s">
        <v>6</v>
      </c>
      <c r="C10" s="97"/>
      <c r="D10" s="359" t="s">
        <v>291</v>
      </c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1"/>
      <c r="U10" s="320"/>
      <c r="V10" s="320"/>
      <c r="W10" s="320"/>
      <c r="X10" s="320"/>
      <c r="Y10" s="320"/>
    </row>
    <row r="11" spans="2:25" ht="15" customHeight="1" x14ac:dyDescent="0.25">
      <c r="B11" s="98" t="s">
        <v>35</v>
      </c>
      <c r="C11" s="98"/>
      <c r="D11" s="362" t="s">
        <v>292</v>
      </c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4"/>
      <c r="U11" s="321"/>
      <c r="V11" s="321"/>
      <c r="W11" s="321"/>
      <c r="X11" s="321"/>
      <c r="Y11" s="321"/>
    </row>
    <row r="12" spans="2:25" ht="27.75" customHeight="1" x14ac:dyDescent="0.25">
      <c r="B12" s="93" t="s">
        <v>36</v>
      </c>
      <c r="C12" s="93"/>
      <c r="D12" s="78" t="s">
        <v>293</v>
      </c>
      <c r="E12" s="54" t="s">
        <v>294</v>
      </c>
      <c r="F12" s="55" t="s">
        <v>295</v>
      </c>
      <c r="G12" s="55" t="s">
        <v>296</v>
      </c>
      <c r="H12" s="55" t="s">
        <v>297</v>
      </c>
      <c r="I12" s="55" t="s">
        <v>298</v>
      </c>
      <c r="J12" s="93"/>
      <c r="K12" s="45">
        <f>SUM(L12:Q12)</f>
        <v>996471.76</v>
      </c>
      <c r="L12" s="45">
        <v>74735.38</v>
      </c>
      <c r="M12" s="45">
        <v>74735.38</v>
      </c>
      <c r="N12" s="45"/>
      <c r="O12" s="45"/>
      <c r="P12" s="45">
        <v>847001</v>
      </c>
      <c r="Q12" s="99"/>
      <c r="R12" s="95">
        <v>42856</v>
      </c>
      <c r="S12" s="46">
        <v>43104</v>
      </c>
      <c r="T12" s="86">
        <f>IF(R12-S12&lt;0,(R12-S12)/30.41667,"–")</f>
        <v>-8.1534237640083553</v>
      </c>
      <c r="U12" s="318">
        <f>IF(YEAR(S12)=2016,P12,0)</f>
        <v>0</v>
      </c>
      <c r="V12" s="318">
        <f>IF(YEAR(S12)=2017,P12,0)</f>
        <v>0</v>
      </c>
      <c r="W12" s="318">
        <f>IF(YEAR(S12)=2018,P12,0)</f>
        <v>847001</v>
      </c>
      <c r="X12" s="318">
        <f>IF(YEAR(S12)=2019,P12,0)</f>
        <v>0</v>
      </c>
      <c r="Y12" s="318">
        <f>IF(YEAR(S12)=2020,P12,0)</f>
        <v>0</v>
      </c>
    </row>
    <row r="13" spans="2:25" ht="27" customHeight="1" x14ac:dyDescent="0.25">
      <c r="B13" s="93" t="s">
        <v>37</v>
      </c>
      <c r="C13" s="93"/>
      <c r="D13" s="43" t="s">
        <v>303</v>
      </c>
      <c r="E13" s="54" t="s">
        <v>304</v>
      </c>
      <c r="F13" s="55" t="s">
        <v>295</v>
      </c>
      <c r="G13" s="55" t="s">
        <v>305</v>
      </c>
      <c r="H13" s="55" t="s">
        <v>297</v>
      </c>
      <c r="I13" s="55" t="s">
        <v>298</v>
      </c>
      <c r="J13" s="93"/>
      <c r="K13" s="45">
        <f>SUM(L13:Q13)</f>
        <v>870553</v>
      </c>
      <c r="L13" s="45">
        <v>65292</v>
      </c>
      <c r="M13" s="45">
        <v>65291</v>
      </c>
      <c r="N13" s="45"/>
      <c r="O13" s="45"/>
      <c r="P13" s="45">
        <v>739970</v>
      </c>
      <c r="Q13" s="99"/>
      <c r="R13" s="95">
        <v>42675</v>
      </c>
      <c r="S13" s="46">
        <v>42870</v>
      </c>
      <c r="T13" s="86">
        <f>IF(R13-S13&lt;0,(R13-S13)/30.41667,"–")</f>
        <v>-6.4109582015388273</v>
      </c>
      <c r="U13" s="318">
        <f>IF(YEAR(S13)=2016,P13,0)</f>
        <v>0</v>
      </c>
      <c r="V13" s="318">
        <f t="shared" ref="V13:V76" si="0">IF(YEAR(S13)=2017,P13,0)</f>
        <v>739970</v>
      </c>
      <c r="W13" s="318">
        <f t="shared" ref="W13:W76" si="1">IF(YEAR(S13)=2018,P13,0)</f>
        <v>0</v>
      </c>
      <c r="X13" s="318">
        <f t="shared" ref="X13:X76" si="2">IF(YEAR(S13)=2019,P13,0)</f>
        <v>0</v>
      </c>
      <c r="Y13" s="318">
        <f t="shared" ref="Y13:Y76" si="3">IF(YEAR(S13)=2020,P13,0)</f>
        <v>0</v>
      </c>
    </row>
    <row r="14" spans="2:25" x14ac:dyDescent="0.25">
      <c r="B14" s="98" t="s">
        <v>38</v>
      </c>
      <c r="C14" s="98"/>
      <c r="D14" s="362" t="s">
        <v>306</v>
      </c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4"/>
      <c r="U14" s="321"/>
      <c r="V14" s="321"/>
      <c r="W14" s="321"/>
      <c r="X14" s="321"/>
      <c r="Y14" s="321"/>
    </row>
    <row r="15" spans="2:25" ht="24" x14ac:dyDescent="0.25">
      <c r="B15" s="93" t="s">
        <v>39</v>
      </c>
      <c r="C15" s="93"/>
      <c r="D15" s="47" t="s">
        <v>307</v>
      </c>
      <c r="E15" s="53" t="s">
        <v>308</v>
      </c>
      <c r="F15" s="53" t="s">
        <v>295</v>
      </c>
      <c r="G15" s="53" t="s">
        <v>309</v>
      </c>
      <c r="H15" s="53" t="s">
        <v>310</v>
      </c>
      <c r="I15" s="53" t="s">
        <v>298</v>
      </c>
      <c r="J15" s="53" t="s">
        <v>311</v>
      </c>
      <c r="K15" s="49">
        <f>SUM(L15:Q15)</f>
        <v>511094</v>
      </c>
      <c r="L15" s="49">
        <v>38332</v>
      </c>
      <c r="M15" s="49">
        <v>38332</v>
      </c>
      <c r="N15" s="49"/>
      <c r="O15" s="49"/>
      <c r="P15" s="49">
        <v>434430</v>
      </c>
      <c r="Q15" s="99"/>
      <c r="R15" s="155">
        <v>42795</v>
      </c>
      <c r="S15" s="50">
        <v>42837</v>
      </c>
      <c r="T15" s="86">
        <f>IF(R15-S15&lt;0,(R15-S15)/30.41667,"–")</f>
        <v>-1.3808217664852858</v>
      </c>
      <c r="U15" s="318">
        <f t="shared" ref="U15:U76" si="4">IF(YEAR(S15)=2016,P15,0)</f>
        <v>0</v>
      </c>
      <c r="V15" s="318">
        <f t="shared" si="0"/>
        <v>434430</v>
      </c>
      <c r="W15" s="318">
        <f t="shared" si="1"/>
        <v>0</v>
      </c>
      <c r="X15" s="318">
        <f t="shared" si="2"/>
        <v>0</v>
      </c>
      <c r="Y15" s="318">
        <f t="shared" si="3"/>
        <v>0</v>
      </c>
    </row>
    <row r="16" spans="2:25" ht="48" x14ac:dyDescent="0.25">
      <c r="B16" s="93" t="s">
        <v>40</v>
      </c>
      <c r="C16" s="93"/>
      <c r="D16" s="47" t="s">
        <v>315</v>
      </c>
      <c r="E16" s="53" t="s">
        <v>308</v>
      </c>
      <c r="F16" s="53" t="s">
        <v>295</v>
      </c>
      <c r="G16" s="53" t="s">
        <v>309</v>
      </c>
      <c r="H16" s="53" t="s">
        <v>310</v>
      </c>
      <c r="I16" s="53" t="s">
        <v>298</v>
      </c>
      <c r="J16" s="53" t="s">
        <v>311</v>
      </c>
      <c r="K16" s="49">
        <f>SUM(L16:Q16)</f>
        <v>406458</v>
      </c>
      <c r="L16" s="49">
        <v>30485</v>
      </c>
      <c r="M16" s="49">
        <v>30484</v>
      </c>
      <c r="N16" s="49"/>
      <c r="O16" s="49"/>
      <c r="P16" s="49">
        <v>345489</v>
      </c>
      <c r="Q16" s="99"/>
      <c r="R16" s="155">
        <v>42824</v>
      </c>
      <c r="S16" s="50">
        <v>42815</v>
      </c>
      <c r="T16" s="86" t="str">
        <f>IF(R16-S16&lt;0,(R16-S16)/30.41667,"–")</f>
        <v>–</v>
      </c>
      <c r="U16" s="318">
        <f t="shared" si="4"/>
        <v>0</v>
      </c>
      <c r="V16" s="318">
        <f t="shared" si="0"/>
        <v>345489</v>
      </c>
      <c r="W16" s="318">
        <f t="shared" si="1"/>
        <v>0</v>
      </c>
      <c r="X16" s="318">
        <f t="shared" si="2"/>
        <v>0</v>
      </c>
      <c r="Y16" s="318">
        <f t="shared" si="3"/>
        <v>0</v>
      </c>
    </row>
    <row r="17" spans="2:25" ht="15" customHeight="1" x14ac:dyDescent="0.25">
      <c r="B17" s="98" t="s">
        <v>316</v>
      </c>
      <c r="C17" s="100"/>
      <c r="D17" s="356" t="s">
        <v>317</v>
      </c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8"/>
      <c r="U17" s="321"/>
      <c r="V17" s="321"/>
      <c r="W17" s="321"/>
      <c r="X17" s="321"/>
      <c r="Y17" s="321"/>
    </row>
    <row r="18" spans="2:25" ht="48" x14ac:dyDescent="0.25">
      <c r="B18" s="93" t="s">
        <v>318</v>
      </c>
      <c r="C18" s="93"/>
      <c r="D18" s="43" t="s">
        <v>319</v>
      </c>
      <c r="E18" s="54" t="s">
        <v>304</v>
      </c>
      <c r="F18" s="55" t="s">
        <v>295</v>
      </c>
      <c r="G18" s="55" t="s">
        <v>320</v>
      </c>
      <c r="H18" s="55" t="s">
        <v>321</v>
      </c>
      <c r="I18" s="55" t="s">
        <v>322</v>
      </c>
      <c r="J18" s="55" t="s">
        <v>311</v>
      </c>
      <c r="K18" s="49">
        <f>SUM(L18:Q18)</f>
        <v>1022250</v>
      </c>
      <c r="L18" s="45">
        <v>76682</v>
      </c>
      <c r="M18" s="45">
        <v>76668</v>
      </c>
      <c r="N18" s="45"/>
      <c r="O18" s="45"/>
      <c r="P18" s="45">
        <v>868900</v>
      </c>
      <c r="Q18" s="99"/>
      <c r="R18" s="95">
        <v>42673</v>
      </c>
      <c r="S18" s="50">
        <v>42725</v>
      </c>
      <c r="T18" s="86">
        <f>IF(R18-S18&lt;0,(R18-S18)/30.41667,"–")</f>
        <v>-1.7095888537436872</v>
      </c>
      <c r="U18" s="318">
        <f t="shared" si="4"/>
        <v>868900</v>
      </c>
      <c r="V18" s="318">
        <f t="shared" si="0"/>
        <v>0</v>
      </c>
      <c r="W18" s="318">
        <f t="shared" si="1"/>
        <v>0</v>
      </c>
      <c r="X18" s="318">
        <f t="shared" si="2"/>
        <v>0</v>
      </c>
      <c r="Y18" s="318">
        <f t="shared" si="3"/>
        <v>0</v>
      </c>
    </row>
    <row r="19" spans="2:25" ht="15" customHeight="1" x14ac:dyDescent="0.25">
      <c r="B19" s="98" t="s">
        <v>324</v>
      </c>
      <c r="C19" s="100"/>
      <c r="D19" s="356" t="s">
        <v>325</v>
      </c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8"/>
      <c r="U19" s="322"/>
      <c r="V19" s="322"/>
      <c r="W19" s="322"/>
      <c r="X19" s="322"/>
      <c r="Y19" s="322"/>
    </row>
    <row r="20" spans="2:25" ht="24" x14ac:dyDescent="0.25">
      <c r="B20" s="93" t="s">
        <v>326</v>
      </c>
      <c r="C20" s="93"/>
      <c r="D20" s="43" t="s">
        <v>327</v>
      </c>
      <c r="E20" s="54" t="s">
        <v>328</v>
      </c>
      <c r="F20" s="55" t="s">
        <v>295</v>
      </c>
      <c r="G20" s="55" t="s">
        <v>329</v>
      </c>
      <c r="H20" s="55" t="s">
        <v>330</v>
      </c>
      <c r="I20" s="55" t="s">
        <v>298</v>
      </c>
      <c r="J20" s="55" t="s">
        <v>311</v>
      </c>
      <c r="K20" s="49">
        <f>SUM(L20:Q20)</f>
        <v>461773</v>
      </c>
      <c r="L20" s="45">
        <v>34633</v>
      </c>
      <c r="M20" s="45">
        <v>34633</v>
      </c>
      <c r="N20" s="45"/>
      <c r="O20" s="45"/>
      <c r="P20" s="45">
        <v>392507</v>
      </c>
      <c r="Q20" s="99"/>
      <c r="R20" s="95">
        <v>42734</v>
      </c>
      <c r="S20" s="46">
        <v>42815</v>
      </c>
      <c r="T20" s="86">
        <f>IF(R20-S20&lt;0,(R20-S20)/30.41667,"–")</f>
        <v>-2.6630134067930515</v>
      </c>
      <c r="U20" s="318">
        <f t="shared" si="4"/>
        <v>0</v>
      </c>
      <c r="V20" s="318">
        <f t="shared" si="0"/>
        <v>392507</v>
      </c>
      <c r="W20" s="318">
        <f t="shared" si="1"/>
        <v>0</v>
      </c>
      <c r="X20" s="318">
        <f t="shared" si="2"/>
        <v>0</v>
      </c>
      <c r="Y20" s="318">
        <f t="shared" si="3"/>
        <v>0</v>
      </c>
    </row>
    <row r="21" spans="2:25" ht="15" customHeight="1" x14ac:dyDescent="0.25">
      <c r="B21" s="101" t="s">
        <v>656</v>
      </c>
      <c r="C21" s="102"/>
      <c r="D21" s="379" t="s">
        <v>331</v>
      </c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1"/>
      <c r="U21" s="318"/>
      <c r="V21" s="318">
        <f t="shared" si="0"/>
        <v>0</v>
      </c>
      <c r="W21" s="318">
        <f t="shared" si="1"/>
        <v>0</v>
      </c>
      <c r="X21" s="318">
        <f t="shared" si="2"/>
        <v>0</v>
      </c>
      <c r="Y21" s="318">
        <f t="shared" si="3"/>
        <v>0</v>
      </c>
    </row>
    <row r="22" spans="2:25" ht="15" customHeight="1" x14ac:dyDescent="0.25">
      <c r="B22" s="98" t="s">
        <v>332</v>
      </c>
      <c r="C22" s="210"/>
      <c r="D22" s="356" t="s">
        <v>333</v>
      </c>
      <c r="E22" s="357"/>
      <c r="F22" s="357"/>
      <c r="G22" s="357"/>
      <c r="H22" s="357"/>
      <c r="I22" s="357"/>
      <c r="J22" s="357"/>
      <c r="K22" s="211">
        <v>3321362</v>
      </c>
      <c r="L22" s="212"/>
      <c r="M22" s="212"/>
      <c r="N22" s="212"/>
      <c r="O22" s="212"/>
      <c r="P22" s="212"/>
      <c r="Q22" s="212"/>
      <c r="R22" s="212"/>
      <c r="S22" s="212"/>
      <c r="T22" s="213"/>
      <c r="U22" s="322"/>
      <c r="V22" s="323"/>
      <c r="W22" s="322"/>
      <c r="X22" s="322"/>
      <c r="Y22" s="322"/>
    </row>
    <row r="23" spans="2:25" x14ac:dyDescent="0.25">
      <c r="B23" s="55" t="s">
        <v>660</v>
      </c>
      <c r="C23" s="103"/>
      <c r="D23" s="214"/>
      <c r="E23" s="214"/>
      <c r="F23" s="214"/>
      <c r="G23" s="214"/>
      <c r="H23" s="214"/>
      <c r="I23" s="214"/>
      <c r="J23" s="214"/>
      <c r="K23" s="215"/>
      <c r="L23" s="104"/>
      <c r="M23" s="104"/>
      <c r="N23" s="104"/>
      <c r="O23" s="104"/>
      <c r="P23" s="104"/>
      <c r="Q23" s="104"/>
      <c r="R23" s="104"/>
      <c r="S23" s="104"/>
      <c r="T23" s="104"/>
      <c r="U23" s="318">
        <f t="shared" si="4"/>
        <v>0</v>
      </c>
      <c r="V23" s="318">
        <f t="shared" si="0"/>
        <v>0</v>
      </c>
      <c r="W23" s="318">
        <f t="shared" si="1"/>
        <v>0</v>
      </c>
      <c r="X23" s="318">
        <f t="shared" si="2"/>
        <v>0</v>
      </c>
      <c r="Y23" s="318">
        <f t="shared" si="3"/>
        <v>0</v>
      </c>
    </row>
    <row r="24" spans="2:25" x14ac:dyDescent="0.25">
      <c r="B24" s="101" t="s">
        <v>657</v>
      </c>
      <c r="C24" s="102"/>
      <c r="D24" s="374" t="s">
        <v>335</v>
      </c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6"/>
      <c r="U24" s="318"/>
      <c r="V24" s="318">
        <f t="shared" si="0"/>
        <v>0</v>
      </c>
      <c r="W24" s="318">
        <f t="shared" si="1"/>
        <v>0</v>
      </c>
      <c r="X24" s="318">
        <f t="shared" si="2"/>
        <v>0</v>
      </c>
      <c r="Y24" s="318">
        <f t="shared" si="3"/>
        <v>0</v>
      </c>
    </row>
    <row r="25" spans="2:25" x14ac:dyDescent="0.25">
      <c r="B25" s="101" t="s">
        <v>658</v>
      </c>
      <c r="C25" s="102"/>
      <c r="D25" s="374" t="s">
        <v>336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6"/>
      <c r="U25" s="318"/>
      <c r="V25" s="318">
        <f t="shared" si="0"/>
        <v>0</v>
      </c>
      <c r="W25" s="318">
        <f t="shared" si="1"/>
        <v>0</v>
      </c>
      <c r="X25" s="318">
        <f t="shared" si="2"/>
        <v>0</v>
      </c>
      <c r="Y25" s="318">
        <f t="shared" si="3"/>
        <v>0</v>
      </c>
    </row>
    <row r="26" spans="2:25" x14ac:dyDescent="0.25">
      <c r="B26" s="105" t="s">
        <v>337</v>
      </c>
      <c r="C26" s="100"/>
      <c r="D26" s="365" t="s">
        <v>338</v>
      </c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7"/>
      <c r="U26" s="321"/>
      <c r="V26" s="321"/>
      <c r="W26" s="321"/>
      <c r="X26" s="321"/>
      <c r="Y26" s="321"/>
    </row>
    <row r="27" spans="2:25" ht="24" x14ac:dyDescent="0.25">
      <c r="B27" s="92" t="s">
        <v>339</v>
      </c>
      <c r="C27" s="93"/>
      <c r="D27" s="78" t="s">
        <v>340</v>
      </c>
      <c r="E27" s="54" t="s">
        <v>294</v>
      </c>
      <c r="F27" s="55" t="s">
        <v>341</v>
      </c>
      <c r="G27" s="55" t="s">
        <v>342</v>
      </c>
      <c r="H27" s="55" t="s">
        <v>343</v>
      </c>
      <c r="I27" s="55" t="s">
        <v>298</v>
      </c>
      <c r="J27" s="55"/>
      <c r="K27" s="49">
        <f>SUM(L27:Q27)</f>
        <v>822057.65</v>
      </c>
      <c r="L27" s="45">
        <v>123308.65</v>
      </c>
      <c r="M27" s="45"/>
      <c r="N27" s="45"/>
      <c r="O27" s="45"/>
      <c r="P27" s="45">
        <v>698749</v>
      </c>
      <c r="Q27" s="99"/>
      <c r="R27" s="95">
        <v>42917</v>
      </c>
      <c r="S27" s="46">
        <v>42993</v>
      </c>
      <c r="T27" s="86">
        <f>IF(R27-S27&lt;0,(R27-S27)/30.41667,"–")</f>
        <v>-2.4986298631638508</v>
      </c>
      <c r="U27" s="318">
        <f t="shared" si="4"/>
        <v>0</v>
      </c>
      <c r="V27" s="318">
        <f t="shared" si="0"/>
        <v>698749</v>
      </c>
      <c r="W27" s="318">
        <f t="shared" si="1"/>
        <v>0</v>
      </c>
      <c r="X27" s="318">
        <f t="shared" si="2"/>
        <v>0</v>
      </c>
      <c r="Y27" s="318">
        <f t="shared" si="3"/>
        <v>0</v>
      </c>
    </row>
    <row r="28" spans="2:25" ht="24" x14ac:dyDescent="0.25">
      <c r="B28" s="92" t="s">
        <v>347</v>
      </c>
      <c r="C28" s="93"/>
      <c r="D28" s="43" t="s">
        <v>348</v>
      </c>
      <c r="E28" s="54" t="s">
        <v>308</v>
      </c>
      <c r="F28" s="55" t="s">
        <v>341</v>
      </c>
      <c r="G28" s="55" t="s">
        <v>349</v>
      </c>
      <c r="H28" s="55" t="s">
        <v>343</v>
      </c>
      <c r="I28" s="55" t="s">
        <v>298</v>
      </c>
      <c r="J28" s="55" t="s">
        <v>311</v>
      </c>
      <c r="K28" s="49">
        <f t="shared" ref="K28:K41" si="5">SUM(L28:Q28)</f>
        <v>336192.2</v>
      </c>
      <c r="L28" s="45">
        <v>43873.7</v>
      </c>
      <c r="M28" s="45"/>
      <c r="N28" s="45"/>
      <c r="O28" s="45">
        <v>23701.5</v>
      </c>
      <c r="P28" s="45">
        <v>268617</v>
      </c>
      <c r="Q28" s="99"/>
      <c r="R28" s="95">
        <v>42855</v>
      </c>
      <c r="S28" s="46">
        <v>43133</v>
      </c>
      <c r="T28" s="86">
        <f>IF(R28-S28&lt;0,(R28-S28)/30.41667,"–")</f>
        <v>-9.1397250257835587</v>
      </c>
      <c r="U28" s="318">
        <f t="shared" si="4"/>
        <v>0</v>
      </c>
      <c r="V28" s="318">
        <f t="shared" si="0"/>
        <v>0</v>
      </c>
      <c r="W28" s="318">
        <f t="shared" si="1"/>
        <v>268617</v>
      </c>
      <c r="X28" s="318">
        <f t="shared" si="2"/>
        <v>0</v>
      </c>
      <c r="Y28" s="318">
        <f t="shared" si="3"/>
        <v>0</v>
      </c>
    </row>
    <row r="29" spans="2:25" ht="24" x14ac:dyDescent="0.25">
      <c r="B29" s="92" t="s">
        <v>354</v>
      </c>
      <c r="C29" s="93"/>
      <c r="D29" s="78" t="s">
        <v>355</v>
      </c>
      <c r="E29" s="54" t="s">
        <v>328</v>
      </c>
      <c r="F29" s="55" t="s">
        <v>341</v>
      </c>
      <c r="G29" s="55" t="s">
        <v>356</v>
      </c>
      <c r="H29" s="55" t="s">
        <v>343</v>
      </c>
      <c r="I29" s="55" t="s">
        <v>298</v>
      </c>
      <c r="J29" s="55" t="s">
        <v>311</v>
      </c>
      <c r="K29" s="49">
        <f t="shared" si="5"/>
        <v>794019</v>
      </c>
      <c r="L29" s="45">
        <v>59552</v>
      </c>
      <c r="M29" s="45"/>
      <c r="N29" s="45"/>
      <c r="O29" s="45">
        <v>59551</v>
      </c>
      <c r="P29" s="45">
        <v>674916</v>
      </c>
      <c r="Q29" s="99"/>
      <c r="R29" s="95">
        <v>42979</v>
      </c>
      <c r="S29" s="46">
        <v>43021</v>
      </c>
      <c r="T29" s="86">
        <f t="shared" ref="T29:T31" si="6">IF(R29-S29&lt;0,(R29-S29)/30.41667,"–")</f>
        <v>-1.3808217664852858</v>
      </c>
      <c r="U29" s="318">
        <f t="shared" si="4"/>
        <v>0</v>
      </c>
      <c r="V29" s="318">
        <f t="shared" si="0"/>
        <v>674916</v>
      </c>
      <c r="W29" s="318">
        <f t="shared" si="1"/>
        <v>0</v>
      </c>
      <c r="X29" s="318">
        <f t="shared" si="2"/>
        <v>0</v>
      </c>
      <c r="Y29" s="318">
        <f t="shared" si="3"/>
        <v>0</v>
      </c>
    </row>
    <row r="30" spans="2:25" ht="24" x14ac:dyDescent="0.25">
      <c r="B30" s="92" t="s">
        <v>357</v>
      </c>
      <c r="C30" s="93"/>
      <c r="D30" s="43" t="s">
        <v>358</v>
      </c>
      <c r="E30" s="54" t="s">
        <v>328</v>
      </c>
      <c r="F30" s="55" t="s">
        <v>341</v>
      </c>
      <c r="G30" s="55" t="s">
        <v>356</v>
      </c>
      <c r="H30" s="55" t="s">
        <v>343</v>
      </c>
      <c r="I30" s="55" t="s">
        <v>298</v>
      </c>
      <c r="J30" s="55" t="s">
        <v>311</v>
      </c>
      <c r="K30" s="49">
        <f t="shared" si="5"/>
        <v>194118</v>
      </c>
      <c r="L30" s="45">
        <v>64860</v>
      </c>
      <c r="M30" s="45"/>
      <c r="N30" s="45"/>
      <c r="O30" s="45">
        <v>14558</v>
      </c>
      <c r="P30" s="45">
        <v>114700</v>
      </c>
      <c r="Q30" s="99"/>
      <c r="R30" s="95">
        <v>43435</v>
      </c>
      <c r="S30" s="46"/>
      <c r="T30" s="86"/>
      <c r="U30" s="318">
        <f t="shared" si="4"/>
        <v>0</v>
      </c>
      <c r="V30" s="318">
        <f t="shared" si="0"/>
        <v>0</v>
      </c>
      <c r="W30" s="318">
        <f t="shared" si="1"/>
        <v>0</v>
      </c>
      <c r="X30" s="318">
        <f t="shared" si="2"/>
        <v>0</v>
      </c>
      <c r="Y30" s="318">
        <f t="shared" si="3"/>
        <v>0</v>
      </c>
    </row>
    <row r="31" spans="2:25" ht="24" x14ac:dyDescent="0.25">
      <c r="B31" s="92" t="s">
        <v>359</v>
      </c>
      <c r="C31" s="93"/>
      <c r="D31" s="78" t="s">
        <v>360</v>
      </c>
      <c r="E31" s="54" t="s">
        <v>304</v>
      </c>
      <c r="F31" s="55" t="s">
        <v>341</v>
      </c>
      <c r="G31" s="55" t="s">
        <v>320</v>
      </c>
      <c r="H31" s="55" t="s">
        <v>343</v>
      </c>
      <c r="I31" s="55" t="s">
        <v>298</v>
      </c>
      <c r="J31" s="55" t="s">
        <v>311</v>
      </c>
      <c r="K31" s="45">
        <f t="shared" si="5"/>
        <v>1866751.15</v>
      </c>
      <c r="L31" s="45">
        <v>678877.04</v>
      </c>
      <c r="M31" s="45"/>
      <c r="N31" s="45"/>
      <c r="O31" s="45">
        <v>96314.11</v>
      </c>
      <c r="P31" s="45">
        <v>1091560</v>
      </c>
      <c r="Q31" s="99"/>
      <c r="R31" s="95">
        <v>42887</v>
      </c>
      <c r="S31" s="46">
        <v>42921</v>
      </c>
      <c r="T31" s="86">
        <f t="shared" si="6"/>
        <v>-1.1178080966785648</v>
      </c>
      <c r="U31" s="318">
        <f t="shared" si="4"/>
        <v>0</v>
      </c>
      <c r="V31" s="318">
        <f t="shared" si="0"/>
        <v>1091560</v>
      </c>
      <c r="W31" s="318">
        <f t="shared" si="1"/>
        <v>0</v>
      </c>
      <c r="X31" s="318">
        <f t="shared" si="2"/>
        <v>0</v>
      </c>
      <c r="Y31" s="318">
        <f t="shared" si="3"/>
        <v>0</v>
      </c>
    </row>
    <row r="32" spans="2:25" ht="15" customHeight="1" x14ac:dyDescent="0.25">
      <c r="B32" s="105" t="s">
        <v>361</v>
      </c>
      <c r="C32" s="100"/>
      <c r="D32" s="356" t="s">
        <v>362</v>
      </c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8"/>
      <c r="U32" s="321"/>
      <c r="V32" s="321"/>
      <c r="W32" s="321"/>
      <c r="X32" s="321"/>
      <c r="Y32" s="321"/>
    </row>
    <row r="33" spans="2:25" ht="24" x14ac:dyDescent="0.25">
      <c r="B33" s="92" t="s">
        <v>363</v>
      </c>
      <c r="C33" s="93"/>
      <c r="D33" s="43" t="s">
        <v>364</v>
      </c>
      <c r="E33" s="54" t="s">
        <v>304</v>
      </c>
      <c r="F33" s="55" t="s">
        <v>341</v>
      </c>
      <c r="G33" s="55" t="s">
        <v>320</v>
      </c>
      <c r="H33" s="55" t="s">
        <v>365</v>
      </c>
      <c r="I33" s="55" t="s">
        <v>298</v>
      </c>
      <c r="J33" s="55" t="s">
        <v>311</v>
      </c>
      <c r="K33" s="45">
        <f t="shared" si="5"/>
        <v>1277647</v>
      </c>
      <c r="L33" s="45">
        <v>191647</v>
      </c>
      <c r="M33" s="45"/>
      <c r="N33" s="45"/>
      <c r="O33" s="45"/>
      <c r="P33" s="45">
        <v>1086000</v>
      </c>
      <c r="Q33" s="99"/>
      <c r="R33" s="95">
        <v>43435</v>
      </c>
      <c r="S33" s="106"/>
      <c r="T33" s="86"/>
      <c r="U33" s="318">
        <f t="shared" si="4"/>
        <v>0</v>
      </c>
      <c r="V33" s="318">
        <f t="shared" si="0"/>
        <v>0</v>
      </c>
      <c r="W33" s="318">
        <f t="shared" si="1"/>
        <v>0</v>
      </c>
      <c r="X33" s="318">
        <f t="shared" si="2"/>
        <v>0</v>
      </c>
      <c r="Y33" s="318">
        <f t="shared" si="3"/>
        <v>0</v>
      </c>
    </row>
    <row r="34" spans="2:25" ht="24" x14ac:dyDescent="0.25">
      <c r="B34" s="92" t="s">
        <v>369</v>
      </c>
      <c r="C34" s="93"/>
      <c r="D34" s="43" t="s">
        <v>370</v>
      </c>
      <c r="E34" s="54" t="s">
        <v>304</v>
      </c>
      <c r="F34" s="55" t="s">
        <v>341</v>
      </c>
      <c r="G34" s="55" t="s">
        <v>320</v>
      </c>
      <c r="H34" s="55" t="s">
        <v>371</v>
      </c>
      <c r="I34" s="55" t="s">
        <v>322</v>
      </c>
      <c r="J34" s="55" t="s">
        <v>311</v>
      </c>
      <c r="K34" s="45">
        <f t="shared" si="5"/>
        <v>11900</v>
      </c>
      <c r="L34" s="45">
        <v>1785</v>
      </c>
      <c r="M34" s="45"/>
      <c r="N34" s="45"/>
      <c r="O34" s="45"/>
      <c r="P34" s="45">
        <v>10115</v>
      </c>
      <c r="Q34" s="99"/>
      <c r="R34" s="95">
        <v>42734</v>
      </c>
      <c r="S34" s="46">
        <v>42759</v>
      </c>
      <c r="T34" s="86">
        <f t="shared" ref="T34" si="7">IF(R34-S34&lt;0,(R34-S34)/30.41667,"–")</f>
        <v>-0.82191771814600345</v>
      </c>
      <c r="U34" s="318">
        <f t="shared" si="4"/>
        <v>0</v>
      </c>
      <c r="V34" s="318">
        <f t="shared" si="0"/>
        <v>10115</v>
      </c>
      <c r="W34" s="318">
        <f t="shared" si="1"/>
        <v>0</v>
      </c>
      <c r="X34" s="318">
        <f t="shared" si="2"/>
        <v>0</v>
      </c>
      <c r="Y34" s="318">
        <f t="shared" si="3"/>
        <v>0</v>
      </c>
    </row>
    <row r="35" spans="2:25" ht="15" customHeight="1" x14ac:dyDescent="0.25">
      <c r="B35" s="105" t="s">
        <v>374</v>
      </c>
      <c r="C35" s="98"/>
      <c r="D35" s="356" t="s">
        <v>375</v>
      </c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8"/>
      <c r="U35" s="321"/>
      <c r="V35" s="321"/>
      <c r="W35" s="321"/>
      <c r="X35" s="321"/>
      <c r="Y35" s="321"/>
    </row>
    <row r="36" spans="2:25" ht="24" x14ac:dyDescent="0.25">
      <c r="B36" s="92" t="s">
        <v>376</v>
      </c>
      <c r="C36" s="93"/>
      <c r="D36" s="43" t="s">
        <v>377</v>
      </c>
      <c r="E36" s="54" t="s">
        <v>294</v>
      </c>
      <c r="F36" s="55" t="s">
        <v>341</v>
      </c>
      <c r="G36" s="55" t="s">
        <v>378</v>
      </c>
      <c r="H36" s="55" t="s">
        <v>379</v>
      </c>
      <c r="I36" s="55" t="s">
        <v>298</v>
      </c>
      <c r="J36" s="55"/>
      <c r="K36" s="45">
        <f t="shared" si="5"/>
        <v>83796.47</v>
      </c>
      <c r="L36" s="45">
        <v>12569.47</v>
      </c>
      <c r="M36" s="45"/>
      <c r="N36" s="45"/>
      <c r="O36" s="45"/>
      <c r="P36" s="45">
        <v>71227</v>
      </c>
      <c r="Q36" s="99"/>
      <c r="R36" s="95">
        <v>43069</v>
      </c>
      <c r="S36" s="46">
        <v>43185</v>
      </c>
      <c r="T36" s="86">
        <f t="shared" ref="T36" si="8">IF(R36-S36&lt;0,(R36-S36)/30.41667,"–")</f>
        <v>-3.8136982121974561</v>
      </c>
      <c r="U36" s="318">
        <f t="shared" si="4"/>
        <v>0</v>
      </c>
      <c r="V36" s="318">
        <f t="shared" si="0"/>
        <v>0</v>
      </c>
      <c r="W36" s="318">
        <f t="shared" si="1"/>
        <v>71227</v>
      </c>
      <c r="X36" s="318">
        <f t="shared" si="2"/>
        <v>0</v>
      </c>
      <c r="Y36" s="318">
        <f t="shared" si="3"/>
        <v>0</v>
      </c>
    </row>
    <row r="37" spans="2:25" ht="24" x14ac:dyDescent="0.25">
      <c r="B37" s="92" t="s">
        <v>382</v>
      </c>
      <c r="C37" s="93"/>
      <c r="D37" s="43" t="s">
        <v>383</v>
      </c>
      <c r="E37" s="54" t="s">
        <v>308</v>
      </c>
      <c r="F37" s="55" t="s">
        <v>341</v>
      </c>
      <c r="G37" s="55" t="s">
        <v>349</v>
      </c>
      <c r="H37" s="55" t="s">
        <v>379</v>
      </c>
      <c r="I37" s="55" t="s">
        <v>298</v>
      </c>
      <c r="J37" s="55" t="s">
        <v>311</v>
      </c>
      <c r="K37" s="45">
        <f t="shared" si="5"/>
        <v>34280.82</v>
      </c>
      <c r="L37" s="45">
        <v>6898.82</v>
      </c>
      <c r="M37" s="45"/>
      <c r="N37" s="45"/>
      <c r="O37" s="45"/>
      <c r="P37" s="45">
        <v>27382</v>
      </c>
      <c r="Q37" s="99"/>
      <c r="R37" s="95">
        <v>42947</v>
      </c>
      <c r="S37" s="46">
        <v>43124</v>
      </c>
      <c r="T37" s="86">
        <f t="shared" ref="T37" si="9">IF(R37-S37&lt;0,(R37-S37)/30.41667,"–")</f>
        <v>-5.8191774444737048</v>
      </c>
      <c r="U37" s="318">
        <f t="shared" si="4"/>
        <v>0</v>
      </c>
      <c r="V37" s="318">
        <f t="shared" si="0"/>
        <v>0</v>
      </c>
      <c r="W37" s="318">
        <f t="shared" si="1"/>
        <v>27382</v>
      </c>
      <c r="X37" s="318">
        <f t="shared" si="2"/>
        <v>0</v>
      </c>
      <c r="Y37" s="318">
        <f t="shared" si="3"/>
        <v>0</v>
      </c>
    </row>
    <row r="38" spans="2:25" ht="24" x14ac:dyDescent="0.25">
      <c r="B38" s="92" t="s">
        <v>386</v>
      </c>
      <c r="C38" s="93"/>
      <c r="D38" s="43" t="s">
        <v>387</v>
      </c>
      <c r="E38" s="54" t="s">
        <v>328</v>
      </c>
      <c r="F38" s="55" t="s">
        <v>341</v>
      </c>
      <c r="G38" s="55" t="s">
        <v>356</v>
      </c>
      <c r="H38" s="55" t="s">
        <v>379</v>
      </c>
      <c r="I38" s="55" t="s">
        <v>298</v>
      </c>
      <c r="J38" s="55" t="s">
        <v>311</v>
      </c>
      <c r="K38" s="45">
        <f t="shared" si="5"/>
        <v>100770</v>
      </c>
      <c r="L38" s="45">
        <v>20280</v>
      </c>
      <c r="M38" s="45"/>
      <c r="N38" s="45"/>
      <c r="O38" s="45"/>
      <c r="P38" s="45">
        <v>80490</v>
      </c>
      <c r="Q38" s="99"/>
      <c r="R38" s="95">
        <v>43586</v>
      </c>
      <c r="S38" s="46"/>
      <c r="T38" s="86"/>
      <c r="U38" s="318">
        <f t="shared" si="4"/>
        <v>0</v>
      </c>
      <c r="V38" s="318">
        <f t="shared" si="0"/>
        <v>0</v>
      </c>
      <c r="W38" s="318">
        <f t="shared" si="1"/>
        <v>0</v>
      </c>
      <c r="X38" s="318">
        <f t="shared" si="2"/>
        <v>0</v>
      </c>
      <c r="Y38" s="318">
        <f t="shared" si="3"/>
        <v>0</v>
      </c>
    </row>
    <row r="39" spans="2:25" ht="24" x14ac:dyDescent="0.25">
      <c r="B39" s="92" t="s">
        <v>388</v>
      </c>
      <c r="C39" s="93"/>
      <c r="D39" s="43" t="s">
        <v>389</v>
      </c>
      <c r="E39" s="54" t="s">
        <v>304</v>
      </c>
      <c r="F39" s="55" t="s">
        <v>341</v>
      </c>
      <c r="G39" s="55" t="s">
        <v>390</v>
      </c>
      <c r="H39" s="55" t="s">
        <v>379</v>
      </c>
      <c r="I39" s="55" t="s">
        <v>298</v>
      </c>
      <c r="J39" s="55"/>
      <c r="K39" s="45">
        <f t="shared" si="5"/>
        <v>139304.47</v>
      </c>
      <c r="L39" s="45">
        <v>28035.47</v>
      </c>
      <c r="M39" s="45"/>
      <c r="N39" s="45"/>
      <c r="O39" s="45"/>
      <c r="P39" s="45">
        <v>111269</v>
      </c>
      <c r="Q39" s="99"/>
      <c r="R39" s="95">
        <v>42978</v>
      </c>
      <c r="S39" s="46">
        <v>42921</v>
      </c>
      <c r="T39" s="86" t="str">
        <f t="shared" ref="T39" si="10">IF(R39-S39&lt;0,(R39-S39)/30.41667,"–")</f>
        <v>–</v>
      </c>
      <c r="U39" s="318">
        <f t="shared" si="4"/>
        <v>0</v>
      </c>
      <c r="V39" s="318">
        <f t="shared" si="0"/>
        <v>111269</v>
      </c>
      <c r="W39" s="318">
        <f t="shared" si="1"/>
        <v>0</v>
      </c>
      <c r="X39" s="318">
        <f t="shared" si="2"/>
        <v>0</v>
      </c>
      <c r="Y39" s="318">
        <f t="shared" si="3"/>
        <v>0</v>
      </c>
    </row>
    <row r="40" spans="2:25" ht="15" customHeight="1" x14ac:dyDescent="0.25">
      <c r="B40" s="105" t="s">
        <v>391</v>
      </c>
      <c r="C40" s="100"/>
      <c r="D40" s="382" t="s">
        <v>392</v>
      </c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4"/>
      <c r="U40" s="321"/>
      <c r="V40" s="321"/>
      <c r="W40" s="321"/>
      <c r="X40" s="321"/>
      <c r="Y40" s="321"/>
    </row>
    <row r="41" spans="2:25" ht="24" x14ac:dyDescent="0.25">
      <c r="B41" s="92" t="s">
        <v>393</v>
      </c>
      <c r="C41" s="93"/>
      <c r="D41" s="43" t="s">
        <v>394</v>
      </c>
      <c r="E41" s="54" t="s">
        <v>304</v>
      </c>
      <c r="F41" s="55" t="s">
        <v>341</v>
      </c>
      <c r="G41" s="55" t="s">
        <v>320</v>
      </c>
      <c r="H41" s="55" t="s">
        <v>395</v>
      </c>
      <c r="I41" s="55" t="s">
        <v>298</v>
      </c>
      <c r="J41" s="55" t="s">
        <v>311</v>
      </c>
      <c r="K41" s="45">
        <f t="shared" si="5"/>
        <v>798964</v>
      </c>
      <c r="L41" s="45">
        <v>119845</v>
      </c>
      <c r="M41" s="45"/>
      <c r="N41" s="45"/>
      <c r="O41" s="45"/>
      <c r="P41" s="45">
        <v>679119</v>
      </c>
      <c r="Q41" s="99"/>
      <c r="R41" s="95">
        <v>43070</v>
      </c>
      <c r="S41" s="46">
        <v>43236</v>
      </c>
      <c r="T41" s="86">
        <f t="shared" ref="T41" si="11">IF(R41-S41&lt;0,(R41-S41)/30.41667,"–")</f>
        <v>-5.4575336484894628</v>
      </c>
      <c r="U41" s="318">
        <f t="shared" si="4"/>
        <v>0</v>
      </c>
      <c r="V41" s="318">
        <f t="shared" si="0"/>
        <v>0</v>
      </c>
      <c r="W41" s="318">
        <f t="shared" si="1"/>
        <v>679119</v>
      </c>
      <c r="X41" s="318">
        <f t="shared" si="2"/>
        <v>0</v>
      </c>
      <c r="Y41" s="318">
        <f t="shared" si="3"/>
        <v>0</v>
      </c>
    </row>
    <row r="42" spans="2:25" x14ac:dyDescent="0.25">
      <c r="B42" s="101" t="s">
        <v>662</v>
      </c>
      <c r="C42" s="102"/>
      <c r="D42" s="374" t="s">
        <v>398</v>
      </c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6"/>
      <c r="U42" s="319"/>
      <c r="V42" s="318"/>
      <c r="W42" s="318"/>
      <c r="X42" s="318"/>
      <c r="Y42" s="318"/>
    </row>
    <row r="43" spans="2:25" x14ac:dyDescent="0.25">
      <c r="B43" s="105" t="s">
        <v>399</v>
      </c>
      <c r="C43" s="100"/>
      <c r="D43" s="365" t="s">
        <v>400</v>
      </c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7"/>
      <c r="U43" s="321"/>
      <c r="V43" s="321"/>
      <c r="W43" s="321"/>
      <c r="X43" s="321"/>
      <c r="Y43" s="321"/>
    </row>
    <row r="44" spans="2:25" ht="24" x14ac:dyDescent="0.25">
      <c r="B44" s="92" t="s">
        <v>401</v>
      </c>
      <c r="C44" s="93"/>
      <c r="D44" s="77" t="s">
        <v>402</v>
      </c>
      <c r="E44" s="55" t="s">
        <v>304</v>
      </c>
      <c r="F44" s="55" t="s">
        <v>403</v>
      </c>
      <c r="G44" s="55" t="s">
        <v>320</v>
      </c>
      <c r="H44" s="54" t="s">
        <v>404</v>
      </c>
      <c r="I44" s="55" t="s">
        <v>298</v>
      </c>
      <c r="J44" s="55" t="s">
        <v>311</v>
      </c>
      <c r="K44" s="45">
        <f t="shared" ref="K44:K50" si="12">SUM(L44:Q44)</f>
        <v>588358</v>
      </c>
      <c r="L44" s="45">
        <v>88253.84</v>
      </c>
      <c r="M44" s="45"/>
      <c r="N44" s="45"/>
      <c r="O44" s="45"/>
      <c r="P44" s="45">
        <v>500104.16</v>
      </c>
      <c r="Q44" s="99"/>
      <c r="R44" s="95">
        <v>42795</v>
      </c>
      <c r="S44" s="46">
        <v>42835</v>
      </c>
      <c r="T44" s="86">
        <f t="shared" ref="T44:T45" si="13">IF(R44-S44&lt;0,(R44-S44)/30.41667,"–")</f>
        <v>-1.3150683490336057</v>
      </c>
      <c r="U44" s="318">
        <f t="shared" si="4"/>
        <v>0</v>
      </c>
      <c r="V44" s="318">
        <f t="shared" si="0"/>
        <v>500104.16</v>
      </c>
      <c r="W44" s="318">
        <f t="shared" si="1"/>
        <v>0</v>
      </c>
      <c r="X44" s="318">
        <f t="shared" si="2"/>
        <v>0</v>
      </c>
      <c r="Y44" s="318">
        <f t="shared" si="3"/>
        <v>0</v>
      </c>
    </row>
    <row r="45" spans="2:25" ht="24" x14ac:dyDescent="0.25">
      <c r="B45" s="92" t="s">
        <v>407</v>
      </c>
      <c r="C45" s="93"/>
      <c r="D45" s="48" t="s">
        <v>408</v>
      </c>
      <c r="E45" s="53" t="s">
        <v>328</v>
      </c>
      <c r="F45" s="53" t="s">
        <v>403</v>
      </c>
      <c r="G45" s="53" t="s">
        <v>356</v>
      </c>
      <c r="H45" s="53" t="s">
        <v>404</v>
      </c>
      <c r="I45" s="53" t="s">
        <v>298</v>
      </c>
      <c r="J45" s="53" t="s">
        <v>311</v>
      </c>
      <c r="K45" s="45">
        <f t="shared" si="12"/>
        <v>515526.52</v>
      </c>
      <c r="L45" s="49">
        <v>97732.29</v>
      </c>
      <c r="M45" s="49"/>
      <c r="N45" s="49"/>
      <c r="O45" s="49">
        <v>226000</v>
      </c>
      <c r="P45" s="49">
        <v>191794.23</v>
      </c>
      <c r="Q45" s="99"/>
      <c r="R45" s="155">
        <v>42824</v>
      </c>
      <c r="S45" s="46">
        <v>42809</v>
      </c>
      <c r="T45" s="86" t="str">
        <f t="shared" si="13"/>
        <v>–</v>
      </c>
      <c r="U45" s="318">
        <f t="shared" si="4"/>
        <v>0</v>
      </c>
      <c r="V45" s="318">
        <f t="shared" si="0"/>
        <v>191794.23</v>
      </c>
      <c r="W45" s="318">
        <f t="shared" si="1"/>
        <v>0</v>
      </c>
      <c r="X45" s="318">
        <f t="shared" si="2"/>
        <v>0</v>
      </c>
      <c r="Y45" s="318">
        <f t="shared" si="3"/>
        <v>0</v>
      </c>
    </row>
    <row r="46" spans="2:25" x14ac:dyDescent="0.25">
      <c r="B46" s="105" t="s">
        <v>409</v>
      </c>
      <c r="C46" s="100"/>
      <c r="D46" s="365" t="s">
        <v>410</v>
      </c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7"/>
      <c r="U46" s="321"/>
      <c r="V46" s="321"/>
      <c r="W46" s="321"/>
      <c r="X46" s="321"/>
      <c r="Y46" s="321"/>
    </row>
    <row r="47" spans="2:25" ht="72" x14ac:dyDescent="0.25">
      <c r="B47" s="92" t="s">
        <v>411</v>
      </c>
      <c r="C47" s="93"/>
      <c r="D47" s="44" t="s">
        <v>412</v>
      </c>
      <c r="E47" s="54" t="s">
        <v>304</v>
      </c>
      <c r="F47" s="54" t="s">
        <v>403</v>
      </c>
      <c r="G47" s="54" t="s">
        <v>320</v>
      </c>
      <c r="H47" s="55" t="s">
        <v>413</v>
      </c>
      <c r="I47" s="54" t="s">
        <v>298</v>
      </c>
      <c r="J47" s="54" t="s">
        <v>311</v>
      </c>
      <c r="K47" s="45">
        <f t="shared" si="12"/>
        <v>464475</v>
      </c>
      <c r="L47" s="60">
        <v>69671</v>
      </c>
      <c r="M47" s="60"/>
      <c r="N47" s="60"/>
      <c r="O47" s="60"/>
      <c r="P47" s="60">
        <v>394804</v>
      </c>
      <c r="Q47" s="99"/>
      <c r="R47" s="240">
        <v>42885</v>
      </c>
      <c r="S47" s="46">
        <v>42908</v>
      </c>
      <c r="T47" s="86">
        <f t="shared" ref="T47" si="14">IF(R47-S47&lt;0,(R47-S47)/30.41667,"–")</f>
        <v>-0.75616430069432317</v>
      </c>
      <c r="U47" s="318">
        <f t="shared" si="4"/>
        <v>0</v>
      </c>
      <c r="V47" s="318">
        <f t="shared" si="0"/>
        <v>394804</v>
      </c>
      <c r="W47" s="318">
        <f t="shared" si="1"/>
        <v>0</v>
      </c>
      <c r="X47" s="318">
        <f t="shared" si="2"/>
        <v>0</v>
      </c>
      <c r="Y47" s="318">
        <f t="shared" si="3"/>
        <v>0</v>
      </c>
    </row>
    <row r="48" spans="2:25" ht="36" x14ac:dyDescent="0.25">
      <c r="B48" s="92" t="s">
        <v>418</v>
      </c>
      <c r="C48" s="93"/>
      <c r="D48" s="51" t="s">
        <v>419</v>
      </c>
      <c r="E48" s="55" t="s">
        <v>294</v>
      </c>
      <c r="F48" s="55" t="s">
        <v>403</v>
      </c>
      <c r="G48" s="55" t="s">
        <v>420</v>
      </c>
      <c r="H48" s="55" t="s">
        <v>413</v>
      </c>
      <c r="I48" s="55" t="s">
        <v>298</v>
      </c>
      <c r="J48" s="55"/>
      <c r="K48" s="45">
        <f t="shared" si="12"/>
        <v>297327.13</v>
      </c>
      <c r="L48" s="45">
        <v>44599.07</v>
      </c>
      <c r="M48" s="45"/>
      <c r="N48" s="45"/>
      <c r="O48" s="45"/>
      <c r="P48" s="45">
        <v>252728.06</v>
      </c>
      <c r="Q48" s="99"/>
      <c r="R48" s="95">
        <v>42916</v>
      </c>
      <c r="S48" s="46">
        <v>43006</v>
      </c>
      <c r="T48" s="86">
        <f t="shared" ref="T48:T50" si="15">IF(R48-S48&lt;0,(R48-S48)/30.41667,"–")</f>
        <v>-2.9589037853256124</v>
      </c>
      <c r="U48" s="318">
        <f t="shared" si="4"/>
        <v>0</v>
      </c>
      <c r="V48" s="318">
        <f t="shared" si="0"/>
        <v>252728.06</v>
      </c>
      <c r="W48" s="318">
        <f t="shared" si="1"/>
        <v>0</v>
      </c>
      <c r="X48" s="318">
        <f t="shared" si="2"/>
        <v>0</v>
      </c>
      <c r="Y48" s="318">
        <f t="shared" si="3"/>
        <v>0</v>
      </c>
    </row>
    <row r="49" spans="2:25" ht="48" x14ac:dyDescent="0.25">
      <c r="B49" s="92" t="s">
        <v>421</v>
      </c>
      <c r="C49" s="93"/>
      <c r="D49" s="51" t="s">
        <v>422</v>
      </c>
      <c r="E49" s="55" t="s">
        <v>308</v>
      </c>
      <c r="F49" s="55" t="s">
        <v>403</v>
      </c>
      <c r="G49" s="55" t="s">
        <v>309</v>
      </c>
      <c r="H49" s="55" t="s">
        <v>413</v>
      </c>
      <c r="I49" s="55" t="s">
        <v>298</v>
      </c>
      <c r="J49" s="55" t="s">
        <v>311</v>
      </c>
      <c r="K49" s="45">
        <f t="shared" si="12"/>
        <v>114301</v>
      </c>
      <c r="L49" s="45">
        <v>17146</v>
      </c>
      <c r="M49" s="45"/>
      <c r="N49" s="45"/>
      <c r="O49" s="45"/>
      <c r="P49" s="45">
        <v>97155</v>
      </c>
      <c r="Q49" s="99"/>
      <c r="R49" s="95">
        <v>42855</v>
      </c>
      <c r="S49" s="46">
        <v>42967</v>
      </c>
      <c r="T49" s="86">
        <f t="shared" si="15"/>
        <v>-3.6821913772940955</v>
      </c>
      <c r="U49" s="318">
        <f t="shared" si="4"/>
        <v>0</v>
      </c>
      <c r="V49" s="318">
        <f t="shared" si="0"/>
        <v>97155</v>
      </c>
      <c r="W49" s="318">
        <f t="shared" si="1"/>
        <v>0</v>
      </c>
      <c r="X49" s="318">
        <f t="shared" si="2"/>
        <v>0</v>
      </c>
      <c r="Y49" s="318">
        <f t="shared" si="3"/>
        <v>0</v>
      </c>
    </row>
    <row r="50" spans="2:25" ht="24" x14ac:dyDescent="0.25">
      <c r="B50" s="92" t="s">
        <v>424</v>
      </c>
      <c r="C50" s="93"/>
      <c r="D50" s="51" t="s">
        <v>425</v>
      </c>
      <c r="E50" s="55" t="s">
        <v>328</v>
      </c>
      <c r="F50" s="55" t="s">
        <v>403</v>
      </c>
      <c r="G50" s="55" t="s">
        <v>426</v>
      </c>
      <c r="H50" s="55" t="s">
        <v>413</v>
      </c>
      <c r="I50" s="55" t="s">
        <v>298</v>
      </c>
      <c r="J50" s="55"/>
      <c r="K50" s="45">
        <f t="shared" si="12"/>
        <v>335993</v>
      </c>
      <c r="L50" s="45">
        <v>50398.95</v>
      </c>
      <c r="M50" s="45"/>
      <c r="N50" s="45"/>
      <c r="O50" s="45"/>
      <c r="P50" s="49">
        <v>285594.05</v>
      </c>
      <c r="Q50" s="99"/>
      <c r="R50" s="95">
        <v>43281</v>
      </c>
      <c r="S50" s="46">
        <v>43305</v>
      </c>
      <c r="T50" s="86">
        <f t="shared" si="15"/>
        <v>-0.78904100942016331</v>
      </c>
      <c r="U50" s="318">
        <f t="shared" si="4"/>
        <v>0</v>
      </c>
      <c r="V50" s="318">
        <f t="shared" si="0"/>
        <v>0</v>
      </c>
      <c r="W50" s="318">
        <f t="shared" si="1"/>
        <v>285594.05</v>
      </c>
      <c r="X50" s="318">
        <f t="shared" si="2"/>
        <v>0</v>
      </c>
      <c r="Y50" s="318">
        <f t="shared" si="3"/>
        <v>0</v>
      </c>
    </row>
    <row r="51" spans="2:25" x14ac:dyDescent="0.25">
      <c r="B51" s="101" t="s">
        <v>663</v>
      </c>
      <c r="C51" s="102"/>
      <c r="D51" s="374" t="s">
        <v>427</v>
      </c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6"/>
      <c r="U51" s="318"/>
      <c r="V51" s="318"/>
      <c r="W51" s="318"/>
      <c r="X51" s="318"/>
      <c r="Y51" s="318"/>
    </row>
    <row r="52" spans="2:25" x14ac:dyDescent="0.25">
      <c r="B52" s="105" t="s">
        <v>428</v>
      </c>
      <c r="C52" s="100"/>
      <c r="D52" s="365" t="s">
        <v>429</v>
      </c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7"/>
      <c r="U52" s="321"/>
      <c r="V52" s="321"/>
      <c r="W52" s="321"/>
      <c r="X52" s="321"/>
      <c r="Y52" s="321"/>
    </row>
    <row r="53" spans="2:25" ht="36" x14ac:dyDescent="0.25">
      <c r="B53" s="92" t="s">
        <v>430</v>
      </c>
      <c r="C53" s="93"/>
      <c r="D53" s="76" t="s">
        <v>431</v>
      </c>
      <c r="E53" s="54" t="s">
        <v>328</v>
      </c>
      <c r="F53" s="54" t="s">
        <v>432</v>
      </c>
      <c r="G53" s="54" t="s">
        <v>433</v>
      </c>
      <c r="H53" s="54" t="s">
        <v>434</v>
      </c>
      <c r="I53" s="54" t="s">
        <v>298</v>
      </c>
      <c r="J53" s="54"/>
      <c r="K53" s="45">
        <f t="shared" ref="K53" si="16">SUM(L53:Q53)</f>
        <v>466925.52</v>
      </c>
      <c r="L53" s="60">
        <v>70038.83</v>
      </c>
      <c r="M53" s="45"/>
      <c r="N53" s="45"/>
      <c r="O53" s="45"/>
      <c r="P53" s="60">
        <v>396886.69</v>
      </c>
      <c r="Q53" s="99"/>
      <c r="R53" s="155">
        <v>42946</v>
      </c>
      <c r="S53" s="46">
        <v>42930</v>
      </c>
      <c r="T53" s="86" t="str">
        <f t="shared" ref="T53" si="17">IF(R53-S53&lt;0,(R53-S53)/30.41667,"–")</f>
        <v>–</v>
      </c>
      <c r="U53" s="318">
        <f t="shared" si="4"/>
        <v>0</v>
      </c>
      <c r="V53" s="318">
        <f t="shared" si="0"/>
        <v>396886.69</v>
      </c>
      <c r="W53" s="318">
        <f t="shared" si="1"/>
        <v>0</v>
      </c>
      <c r="X53" s="318">
        <f t="shared" si="2"/>
        <v>0</v>
      </c>
      <c r="Y53" s="318">
        <f t="shared" si="3"/>
        <v>0</v>
      </c>
    </row>
    <row r="54" spans="2:25" ht="15" customHeight="1" x14ac:dyDescent="0.25">
      <c r="B54" s="101" t="s">
        <v>664</v>
      </c>
      <c r="C54" s="102"/>
      <c r="D54" s="359" t="s">
        <v>659</v>
      </c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1"/>
      <c r="U54" s="318"/>
      <c r="V54" s="318"/>
      <c r="W54" s="318"/>
      <c r="X54" s="318"/>
      <c r="Y54" s="318"/>
    </row>
    <row r="55" spans="2:25" ht="15" customHeight="1" x14ac:dyDescent="0.25">
      <c r="B55" s="101" t="s">
        <v>665</v>
      </c>
      <c r="C55" s="102"/>
      <c r="D55" s="359" t="s">
        <v>437</v>
      </c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1"/>
      <c r="U55" s="318"/>
      <c r="V55" s="318"/>
      <c r="W55" s="318"/>
      <c r="X55" s="318"/>
      <c r="Y55" s="318"/>
    </row>
    <row r="56" spans="2:25" ht="15" customHeight="1" x14ac:dyDescent="0.25">
      <c r="B56" s="101" t="s">
        <v>666</v>
      </c>
      <c r="C56" s="102"/>
      <c r="D56" s="359" t="s">
        <v>438</v>
      </c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1"/>
      <c r="U56" s="318"/>
      <c r="V56" s="318"/>
      <c r="W56" s="318"/>
      <c r="X56" s="318"/>
      <c r="Y56" s="318"/>
    </row>
    <row r="57" spans="2:25" ht="15" customHeight="1" x14ac:dyDescent="0.25">
      <c r="B57" s="105" t="s">
        <v>439</v>
      </c>
      <c r="C57" s="100"/>
      <c r="D57" s="362" t="s">
        <v>440</v>
      </c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4"/>
      <c r="U57" s="321"/>
      <c r="V57" s="321"/>
      <c r="W57" s="321"/>
      <c r="X57" s="321"/>
      <c r="Y57" s="321"/>
    </row>
    <row r="58" spans="2:25" ht="36" x14ac:dyDescent="0.25">
      <c r="B58" s="92" t="s">
        <v>441</v>
      </c>
      <c r="C58" s="93"/>
      <c r="D58" s="75" t="s">
        <v>442</v>
      </c>
      <c r="E58" s="55" t="s">
        <v>294</v>
      </c>
      <c r="F58" s="55" t="s">
        <v>443</v>
      </c>
      <c r="G58" s="55" t="s">
        <v>444</v>
      </c>
      <c r="H58" s="54" t="s">
        <v>445</v>
      </c>
      <c r="I58" s="55" t="s">
        <v>298</v>
      </c>
      <c r="J58" s="55"/>
      <c r="K58" s="45">
        <f t="shared" ref="K58:K70" si="18">SUM(L58:Q58)</f>
        <v>348722.37</v>
      </c>
      <c r="L58" s="49">
        <v>26154.19</v>
      </c>
      <c r="M58" s="49">
        <v>26154.18</v>
      </c>
      <c r="N58" s="62"/>
      <c r="O58" s="45"/>
      <c r="P58" s="45">
        <v>296414</v>
      </c>
      <c r="Q58" s="99"/>
      <c r="R58" s="95">
        <v>43084</v>
      </c>
      <c r="S58" s="46">
        <v>43132</v>
      </c>
      <c r="T58" s="86">
        <f t="shared" ref="T58" si="19">IF(R58-S58&lt;0,(R58-S58)/30.41667,"–")</f>
        <v>-1.5780820188403266</v>
      </c>
      <c r="U58" s="318">
        <f t="shared" si="4"/>
        <v>0</v>
      </c>
      <c r="V58" s="318">
        <f t="shared" si="0"/>
        <v>0</v>
      </c>
      <c r="W58" s="318">
        <f t="shared" si="1"/>
        <v>296414</v>
      </c>
      <c r="X58" s="318">
        <f t="shared" si="2"/>
        <v>0</v>
      </c>
      <c r="Y58" s="318">
        <f t="shared" si="3"/>
        <v>0</v>
      </c>
    </row>
    <row r="59" spans="2:25" ht="24" x14ac:dyDescent="0.25">
      <c r="B59" s="92" t="s">
        <v>450</v>
      </c>
      <c r="C59" s="93"/>
      <c r="D59" s="75" t="s">
        <v>451</v>
      </c>
      <c r="E59" s="55" t="s">
        <v>308</v>
      </c>
      <c r="F59" s="55" t="s">
        <v>443</v>
      </c>
      <c r="G59" s="55" t="s">
        <v>349</v>
      </c>
      <c r="H59" s="54" t="s">
        <v>445</v>
      </c>
      <c r="I59" s="55" t="s">
        <v>298</v>
      </c>
      <c r="J59" s="55"/>
      <c r="K59" s="45">
        <f t="shared" si="18"/>
        <v>134057.64705882352</v>
      </c>
      <c r="L59" s="49">
        <f>P59*15/85/2</f>
        <v>10054.323529411764</v>
      </c>
      <c r="M59" s="49">
        <f>L59</f>
        <v>10054.323529411764</v>
      </c>
      <c r="N59" s="62"/>
      <c r="O59" s="45"/>
      <c r="P59" s="45">
        <v>113949</v>
      </c>
      <c r="Q59" s="99"/>
      <c r="R59" s="95">
        <v>43070</v>
      </c>
      <c r="S59" s="46">
        <v>43132</v>
      </c>
      <c r="T59" s="86">
        <f t="shared" ref="T59" si="20">IF(R59-S59&lt;0,(R59-S59)/30.41667,"–")</f>
        <v>-2.0383559410020888</v>
      </c>
      <c r="U59" s="318">
        <f t="shared" si="4"/>
        <v>0</v>
      </c>
      <c r="V59" s="318">
        <f t="shared" si="0"/>
        <v>0</v>
      </c>
      <c r="W59" s="318">
        <f t="shared" si="1"/>
        <v>113949</v>
      </c>
      <c r="X59" s="318">
        <f t="shared" si="2"/>
        <v>0</v>
      </c>
      <c r="Y59" s="318">
        <f t="shared" si="3"/>
        <v>0</v>
      </c>
    </row>
    <row r="60" spans="2:25" ht="24" x14ac:dyDescent="0.25">
      <c r="B60" s="92" t="s">
        <v>452</v>
      </c>
      <c r="C60" s="93"/>
      <c r="D60" s="75" t="s">
        <v>453</v>
      </c>
      <c r="E60" s="55" t="s">
        <v>328</v>
      </c>
      <c r="F60" s="55" t="s">
        <v>443</v>
      </c>
      <c r="G60" s="55" t="s">
        <v>356</v>
      </c>
      <c r="H60" s="54" t="s">
        <v>445</v>
      </c>
      <c r="I60" s="55" t="s">
        <v>298</v>
      </c>
      <c r="J60" s="55"/>
      <c r="K60" s="45">
        <f t="shared" si="18"/>
        <v>394072</v>
      </c>
      <c r="L60" s="49">
        <v>29556</v>
      </c>
      <c r="M60" s="49">
        <v>29555</v>
      </c>
      <c r="N60" s="45"/>
      <c r="O60" s="45"/>
      <c r="P60" s="45">
        <v>334961</v>
      </c>
      <c r="Q60" s="99"/>
      <c r="R60" s="95">
        <v>43070</v>
      </c>
      <c r="S60" s="46">
        <v>43138</v>
      </c>
      <c r="T60" s="86">
        <f t="shared" ref="T60:T61" si="21">IF(R60-S60&lt;0,(R60-S60)/30.41667,"–")</f>
        <v>-2.2356161933571297</v>
      </c>
      <c r="U60" s="318">
        <f t="shared" si="4"/>
        <v>0</v>
      </c>
      <c r="V60" s="318">
        <f t="shared" si="0"/>
        <v>0</v>
      </c>
      <c r="W60" s="318">
        <f t="shared" si="1"/>
        <v>334961</v>
      </c>
      <c r="X60" s="318">
        <f t="shared" si="2"/>
        <v>0</v>
      </c>
      <c r="Y60" s="318">
        <f t="shared" si="3"/>
        <v>0</v>
      </c>
    </row>
    <row r="61" spans="2:25" ht="24" x14ac:dyDescent="0.25">
      <c r="B61" s="92" t="s">
        <v>456</v>
      </c>
      <c r="C61" s="93"/>
      <c r="D61" s="75" t="s">
        <v>457</v>
      </c>
      <c r="E61" s="55" t="s">
        <v>304</v>
      </c>
      <c r="F61" s="55" t="s">
        <v>443</v>
      </c>
      <c r="G61" s="55" t="s">
        <v>320</v>
      </c>
      <c r="H61" s="54" t="s">
        <v>445</v>
      </c>
      <c r="I61" s="55" t="s">
        <v>298</v>
      </c>
      <c r="J61" s="55"/>
      <c r="K61" s="45">
        <f t="shared" si="18"/>
        <v>544762.36</v>
      </c>
      <c r="L61" s="49">
        <v>40857.18</v>
      </c>
      <c r="M61" s="49">
        <v>40857.18</v>
      </c>
      <c r="N61" s="63"/>
      <c r="O61" s="45"/>
      <c r="P61" s="45">
        <v>463048</v>
      </c>
      <c r="Q61" s="99"/>
      <c r="R61" s="95">
        <v>43084</v>
      </c>
      <c r="S61" s="46">
        <v>43132</v>
      </c>
      <c r="T61" s="86">
        <f t="shared" si="21"/>
        <v>-1.5780820188403266</v>
      </c>
      <c r="U61" s="318">
        <f t="shared" si="4"/>
        <v>0</v>
      </c>
      <c r="V61" s="318">
        <f t="shared" si="0"/>
        <v>0</v>
      </c>
      <c r="W61" s="318">
        <f t="shared" si="1"/>
        <v>463048</v>
      </c>
      <c r="X61" s="318">
        <f t="shared" si="2"/>
        <v>0</v>
      </c>
      <c r="Y61" s="318">
        <f t="shared" si="3"/>
        <v>0</v>
      </c>
    </row>
    <row r="62" spans="2:25" ht="15" customHeight="1" x14ac:dyDescent="0.25">
      <c r="B62" s="105" t="s">
        <v>458</v>
      </c>
      <c r="C62" s="100"/>
      <c r="D62" s="362" t="s">
        <v>459</v>
      </c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4"/>
      <c r="U62" s="321"/>
      <c r="V62" s="321"/>
      <c r="W62" s="321"/>
      <c r="X62" s="321"/>
      <c r="Y62" s="321"/>
    </row>
    <row r="63" spans="2:25" ht="36" x14ac:dyDescent="0.25">
      <c r="B63" s="92" t="s">
        <v>460</v>
      </c>
      <c r="C63" s="93"/>
      <c r="D63" s="51" t="s">
        <v>461</v>
      </c>
      <c r="E63" s="55" t="s">
        <v>308</v>
      </c>
      <c r="F63" s="55" t="s">
        <v>443</v>
      </c>
      <c r="G63" s="55" t="s">
        <v>349</v>
      </c>
      <c r="H63" s="55" t="s">
        <v>462</v>
      </c>
      <c r="I63" s="55" t="s">
        <v>298</v>
      </c>
      <c r="J63" s="55"/>
      <c r="K63" s="45">
        <f t="shared" si="18"/>
        <v>148515.76</v>
      </c>
      <c r="L63" s="45">
        <v>24397.759999999998</v>
      </c>
      <c r="M63" s="45"/>
      <c r="N63" s="45"/>
      <c r="O63" s="45"/>
      <c r="P63" s="45">
        <v>124118</v>
      </c>
      <c r="Q63" s="99"/>
      <c r="R63" s="95">
        <v>43099</v>
      </c>
      <c r="S63" s="46">
        <v>43084</v>
      </c>
      <c r="T63" s="86" t="str">
        <f t="shared" ref="T63:T66" si="22">IF(R63-S63&lt;0,(R63-S63)/30.41667,"–")</f>
        <v>–</v>
      </c>
      <c r="U63" s="318">
        <f t="shared" si="4"/>
        <v>0</v>
      </c>
      <c r="V63" s="318">
        <f t="shared" si="0"/>
        <v>124118</v>
      </c>
      <c r="W63" s="318">
        <f t="shared" si="1"/>
        <v>0</v>
      </c>
      <c r="X63" s="318">
        <f t="shared" si="2"/>
        <v>0</v>
      </c>
      <c r="Y63" s="318">
        <f t="shared" si="3"/>
        <v>0</v>
      </c>
    </row>
    <row r="64" spans="2:25" ht="36" x14ac:dyDescent="0.25">
      <c r="B64" s="92" t="s">
        <v>465</v>
      </c>
      <c r="C64" s="93"/>
      <c r="D64" s="51" t="s">
        <v>466</v>
      </c>
      <c r="E64" s="55" t="s">
        <v>328</v>
      </c>
      <c r="F64" s="55" t="s">
        <v>443</v>
      </c>
      <c r="G64" s="55" t="s">
        <v>356</v>
      </c>
      <c r="H64" s="55" t="s">
        <v>462</v>
      </c>
      <c r="I64" s="55" t="s">
        <v>298</v>
      </c>
      <c r="J64" s="55"/>
      <c r="K64" s="45">
        <f t="shared" si="18"/>
        <v>181044</v>
      </c>
      <c r="L64" s="45">
        <v>27157</v>
      </c>
      <c r="M64" s="45"/>
      <c r="N64" s="45"/>
      <c r="O64" s="45"/>
      <c r="P64" s="45">
        <v>153887</v>
      </c>
      <c r="Q64" s="99"/>
      <c r="R64" s="95">
        <v>43099</v>
      </c>
      <c r="S64" s="46">
        <v>43091</v>
      </c>
      <c r="T64" s="86" t="str">
        <f t="shared" si="22"/>
        <v>–</v>
      </c>
      <c r="U64" s="318">
        <f t="shared" si="4"/>
        <v>0</v>
      </c>
      <c r="V64" s="318">
        <f t="shared" si="0"/>
        <v>153887</v>
      </c>
      <c r="W64" s="318">
        <f t="shared" si="1"/>
        <v>0</v>
      </c>
      <c r="X64" s="318">
        <f t="shared" si="2"/>
        <v>0</v>
      </c>
      <c r="Y64" s="318">
        <f t="shared" si="3"/>
        <v>0</v>
      </c>
    </row>
    <row r="65" spans="2:25" ht="36" x14ac:dyDescent="0.25">
      <c r="B65" s="92" t="s">
        <v>467</v>
      </c>
      <c r="C65" s="93"/>
      <c r="D65" s="51" t="s">
        <v>468</v>
      </c>
      <c r="E65" s="55" t="s">
        <v>304</v>
      </c>
      <c r="F65" s="55" t="s">
        <v>443</v>
      </c>
      <c r="G65" s="55" t="s">
        <v>320</v>
      </c>
      <c r="H65" s="55" t="s">
        <v>462</v>
      </c>
      <c r="I65" s="55" t="s">
        <v>298</v>
      </c>
      <c r="J65" s="55"/>
      <c r="K65" s="45">
        <f t="shared" si="18"/>
        <v>250274.11</v>
      </c>
      <c r="L65" s="45">
        <v>37541.11</v>
      </c>
      <c r="M65" s="45"/>
      <c r="N65" s="45"/>
      <c r="O65" s="45"/>
      <c r="P65" s="45">
        <v>212733</v>
      </c>
      <c r="Q65" s="99"/>
      <c r="R65" s="95">
        <v>43160</v>
      </c>
      <c r="S65" s="46">
        <v>43234</v>
      </c>
      <c r="T65" s="86">
        <f t="shared" ref="T65" si="23">IF(R65-S65&lt;0,(R65-S65)/30.41667,"–")</f>
        <v>-2.4328764457121705</v>
      </c>
      <c r="U65" s="318">
        <f t="shared" si="4"/>
        <v>0</v>
      </c>
      <c r="V65" s="318">
        <f t="shared" si="0"/>
        <v>0</v>
      </c>
      <c r="W65" s="318">
        <f t="shared" si="1"/>
        <v>212733</v>
      </c>
      <c r="X65" s="318">
        <f t="shared" si="2"/>
        <v>0</v>
      </c>
      <c r="Y65" s="318">
        <f t="shared" si="3"/>
        <v>0</v>
      </c>
    </row>
    <row r="66" spans="2:25" ht="36" x14ac:dyDescent="0.25">
      <c r="B66" s="92" t="s">
        <v>469</v>
      </c>
      <c r="C66" s="93"/>
      <c r="D66" s="51" t="s">
        <v>470</v>
      </c>
      <c r="E66" s="55" t="s">
        <v>471</v>
      </c>
      <c r="F66" s="55" t="s">
        <v>443</v>
      </c>
      <c r="G66" s="55" t="s">
        <v>444</v>
      </c>
      <c r="H66" s="55" t="s">
        <v>462</v>
      </c>
      <c r="I66" s="55" t="s">
        <v>298</v>
      </c>
      <c r="J66" s="55"/>
      <c r="K66" s="45">
        <f t="shared" si="18"/>
        <v>92842.82</v>
      </c>
      <c r="L66" s="45">
        <v>28431.82</v>
      </c>
      <c r="M66" s="45"/>
      <c r="N66" s="45"/>
      <c r="O66" s="45"/>
      <c r="P66" s="45">
        <v>64411</v>
      </c>
      <c r="Q66" s="99"/>
      <c r="R66" s="95">
        <v>43070</v>
      </c>
      <c r="S66" s="46">
        <v>43045</v>
      </c>
      <c r="T66" s="86" t="str">
        <f t="shared" si="22"/>
        <v>–</v>
      </c>
      <c r="U66" s="318">
        <f t="shared" si="4"/>
        <v>0</v>
      </c>
      <c r="V66" s="318">
        <f t="shared" si="0"/>
        <v>64411</v>
      </c>
      <c r="W66" s="318">
        <f t="shared" si="1"/>
        <v>0</v>
      </c>
      <c r="X66" s="318">
        <f t="shared" si="2"/>
        <v>0</v>
      </c>
      <c r="Y66" s="318">
        <f t="shared" si="3"/>
        <v>0</v>
      </c>
    </row>
    <row r="67" spans="2:25" ht="15" customHeight="1" x14ac:dyDescent="0.25">
      <c r="B67" s="105" t="s">
        <v>472</v>
      </c>
      <c r="C67" s="100"/>
      <c r="D67" s="362" t="s">
        <v>473</v>
      </c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4"/>
      <c r="U67" s="321"/>
      <c r="V67" s="321"/>
      <c r="W67" s="321"/>
      <c r="X67" s="321"/>
      <c r="Y67" s="321"/>
    </row>
    <row r="68" spans="2:25" ht="24" x14ac:dyDescent="0.25">
      <c r="B68" s="92" t="s">
        <v>474</v>
      </c>
      <c r="C68" s="93"/>
      <c r="D68" s="74" t="s">
        <v>475</v>
      </c>
      <c r="E68" s="54" t="s">
        <v>294</v>
      </c>
      <c r="F68" s="55" t="s">
        <v>443</v>
      </c>
      <c r="G68" s="55" t="s">
        <v>444</v>
      </c>
      <c r="H68" s="55" t="s">
        <v>476</v>
      </c>
      <c r="I68" s="55" t="s">
        <v>298</v>
      </c>
      <c r="J68" s="55"/>
      <c r="K68" s="45">
        <f t="shared" si="18"/>
        <v>809630.41999999993</v>
      </c>
      <c r="L68" s="45">
        <v>553430.44999999995</v>
      </c>
      <c r="M68" s="45">
        <v>20772.97</v>
      </c>
      <c r="N68" s="45"/>
      <c r="O68" s="45"/>
      <c r="P68" s="45">
        <v>235427</v>
      </c>
      <c r="Q68" s="99"/>
      <c r="R68" s="95">
        <v>43189</v>
      </c>
      <c r="S68" s="46">
        <v>43178</v>
      </c>
      <c r="T68" s="86" t="str">
        <f t="shared" ref="T68" si="24">IF(R68-S68&lt;0,(R68-S68)/30.41667,"–")</f>
        <v>–</v>
      </c>
      <c r="U68" s="318">
        <f t="shared" si="4"/>
        <v>0</v>
      </c>
      <c r="V68" s="318">
        <f t="shared" si="0"/>
        <v>0</v>
      </c>
      <c r="W68" s="318">
        <f t="shared" si="1"/>
        <v>235427</v>
      </c>
      <c r="X68" s="318">
        <f t="shared" si="2"/>
        <v>0</v>
      </c>
      <c r="Y68" s="318">
        <f t="shared" si="3"/>
        <v>0</v>
      </c>
    </row>
    <row r="69" spans="2:25" ht="36" x14ac:dyDescent="0.25">
      <c r="B69" s="92" t="s">
        <v>480</v>
      </c>
      <c r="C69" s="93"/>
      <c r="D69" s="74" t="s">
        <v>481</v>
      </c>
      <c r="E69" s="54" t="s">
        <v>328</v>
      </c>
      <c r="F69" s="55" t="s">
        <v>443</v>
      </c>
      <c r="G69" s="55" t="s">
        <v>426</v>
      </c>
      <c r="H69" s="55" t="s">
        <v>476</v>
      </c>
      <c r="I69" s="55" t="s">
        <v>298</v>
      </c>
      <c r="J69" s="55"/>
      <c r="K69" s="45">
        <f t="shared" si="18"/>
        <v>226080</v>
      </c>
      <c r="L69" s="45">
        <v>16956</v>
      </c>
      <c r="M69" s="45">
        <v>16956</v>
      </c>
      <c r="N69" s="45"/>
      <c r="O69" s="45"/>
      <c r="P69" s="45">
        <v>192168</v>
      </c>
      <c r="Q69" s="99"/>
      <c r="R69" s="95">
        <v>43146</v>
      </c>
      <c r="S69" s="46">
        <v>43173</v>
      </c>
      <c r="T69" s="86">
        <f t="shared" ref="T69" si="25">IF(R69-S69&lt;0,(R69-S69)/30.41667,"–")</f>
        <v>-0.88767113559768374</v>
      </c>
      <c r="U69" s="318">
        <f t="shared" si="4"/>
        <v>0</v>
      </c>
      <c r="V69" s="318">
        <f t="shared" si="0"/>
        <v>0</v>
      </c>
      <c r="W69" s="318">
        <f t="shared" si="1"/>
        <v>192168</v>
      </c>
      <c r="X69" s="318">
        <f t="shared" si="2"/>
        <v>0</v>
      </c>
      <c r="Y69" s="318">
        <f t="shared" si="3"/>
        <v>0</v>
      </c>
    </row>
    <row r="70" spans="2:25" ht="48" x14ac:dyDescent="0.25">
      <c r="B70" s="92" t="s">
        <v>484</v>
      </c>
      <c r="C70" s="93"/>
      <c r="D70" s="74" t="s">
        <v>485</v>
      </c>
      <c r="E70" s="54" t="s">
        <v>304</v>
      </c>
      <c r="F70" s="55" t="s">
        <v>443</v>
      </c>
      <c r="G70" s="55" t="s">
        <v>320</v>
      </c>
      <c r="H70" s="55" t="s">
        <v>476</v>
      </c>
      <c r="I70" s="55" t="s">
        <v>298</v>
      </c>
      <c r="J70" s="55"/>
      <c r="K70" s="45">
        <f t="shared" si="18"/>
        <v>312531.76470588235</v>
      </c>
      <c r="L70" s="45">
        <f>P70*15/85/2</f>
        <v>23439.882352941175</v>
      </c>
      <c r="M70" s="45">
        <f>L70</f>
        <v>23439.882352941175</v>
      </c>
      <c r="N70" s="45"/>
      <c r="O70" s="45"/>
      <c r="P70" s="45">
        <v>265652</v>
      </c>
      <c r="Q70" s="99"/>
      <c r="R70" s="95">
        <v>43159</v>
      </c>
      <c r="S70" s="46">
        <v>43182</v>
      </c>
      <c r="T70" s="86">
        <f t="shared" ref="T70" si="26">IF(R70-S70&lt;0,(R70-S70)/30.41667,"–")</f>
        <v>-0.75616430069432317</v>
      </c>
      <c r="U70" s="318">
        <f t="shared" si="4"/>
        <v>0</v>
      </c>
      <c r="V70" s="318">
        <f t="shared" si="0"/>
        <v>0</v>
      </c>
      <c r="W70" s="318">
        <f t="shared" si="1"/>
        <v>265652</v>
      </c>
      <c r="X70" s="318">
        <f t="shared" si="2"/>
        <v>0</v>
      </c>
      <c r="Y70" s="318">
        <f t="shared" si="3"/>
        <v>0</v>
      </c>
    </row>
    <row r="71" spans="2:25" x14ac:dyDescent="0.25">
      <c r="B71" s="101" t="s">
        <v>667</v>
      </c>
      <c r="C71" s="102"/>
      <c r="D71" s="374" t="s">
        <v>486</v>
      </c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6"/>
      <c r="U71" s="318"/>
      <c r="V71" s="318"/>
      <c r="W71" s="318"/>
      <c r="X71" s="318"/>
      <c r="Y71" s="318"/>
    </row>
    <row r="72" spans="2:25" x14ac:dyDescent="0.25">
      <c r="B72" s="105" t="s">
        <v>487</v>
      </c>
      <c r="C72" s="100"/>
      <c r="D72" s="365" t="s">
        <v>488</v>
      </c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7"/>
      <c r="U72" s="321"/>
      <c r="V72" s="321"/>
      <c r="W72" s="321"/>
      <c r="X72" s="321"/>
      <c r="Y72" s="321"/>
    </row>
    <row r="73" spans="2:25" ht="24" x14ac:dyDescent="0.25">
      <c r="B73" s="92" t="s">
        <v>489</v>
      </c>
      <c r="C73" s="93"/>
      <c r="D73" s="43" t="s">
        <v>490</v>
      </c>
      <c r="E73" s="54" t="s">
        <v>308</v>
      </c>
      <c r="F73" s="55" t="s">
        <v>491</v>
      </c>
      <c r="G73" s="55" t="s">
        <v>492</v>
      </c>
      <c r="H73" s="202" t="s">
        <v>493</v>
      </c>
      <c r="I73" s="55" t="s">
        <v>298</v>
      </c>
      <c r="J73" s="55"/>
      <c r="K73" s="45">
        <f t="shared" ref="K73:K99" si="27">SUM(L73:Q73)</f>
        <v>46877.647058823532</v>
      </c>
      <c r="L73" s="45">
        <f>M73</f>
        <v>3515.8235294117649</v>
      </c>
      <c r="M73" s="45">
        <f>7.5*P73/85</f>
        <v>3515.8235294117649</v>
      </c>
      <c r="N73" s="45"/>
      <c r="O73" s="45"/>
      <c r="P73" s="45">
        <v>39846</v>
      </c>
      <c r="Q73" s="94"/>
      <c r="R73" s="95">
        <v>43266</v>
      </c>
      <c r="S73" s="46">
        <v>43284</v>
      </c>
      <c r="T73" s="86">
        <v>-1</v>
      </c>
      <c r="U73" s="318">
        <f t="shared" si="4"/>
        <v>0</v>
      </c>
      <c r="V73" s="318">
        <f t="shared" si="0"/>
        <v>0</v>
      </c>
      <c r="W73" s="318">
        <f t="shared" si="1"/>
        <v>39846</v>
      </c>
      <c r="X73" s="318">
        <f t="shared" si="2"/>
        <v>0</v>
      </c>
      <c r="Y73" s="318">
        <f t="shared" si="3"/>
        <v>0</v>
      </c>
    </row>
    <row r="74" spans="2:25" ht="24" x14ac:dyDescent="0.25">
      <c r="B74" s="92" t="s">
        <v>496</v>
      </c>
      <c r="C74" s="93"/>
      <c r="D74" s="43" t="s">
        <v>497</v>
      </c>
      <c r="E74" s="54" t="s">
        <v>498</v>
      </c>
      <c r="F74" s="55" t="s">
        <v>491</v>
      </c>
      <c r="G74" s="55" t="s">
        <v>426</v>
      </c>
      <c r="H74" s="202" t="s">
        <v>493</v>
      </c>
      <c r="I74" s="55" t="s">
        <v>298</v>
      </c>
      <c r="J74" s="55"/>
      <c r="K74" s="45">
        <f t="shared" si="27"/>
        <v>137798.82352941178</v>
      </c>
      <c r="L74" s="45">
        <f t="shared" ref="L74:L76" si="28">M74</f>
        <v>10334.911764705883</v>
      </c>
      <c r="M74" s="45">
        <f t="shared" ref="M74:M76" si="29">7.5*P74/85</f>
        <v>10334.911764705883</v>
      </c>
      <c r="N74" s="45"/>
      <c r="O74" s="45"/>
      <c r="P74" s="45">
        <v>117129</v>
      </c>
      <c r="Q74" s="94"/>
      <c r="R74" s="95">
        <v>43281</v>
      </c>
      <c r="S74" s="46">
        <v>43259</v>
      </c>
      <c r="T74" s="86" t="str">
        <f t="shared" ref="T74" si="30">IF(R74-S74&lt;0,(R74-S74)/30.41667,"–")</f>
        <v>–</v>
      </c>
      <c r="U74" s="318">
        <f t="shared" si="4"/>
        <v>0</v>
      </c>
      <c r="V74" s="318">
        <f t="shared" si="0"/>
        <v>0</v>
      </c>
      <c r="W74" s="318">
        <f t="shared" si="1"/>
        <v>117129</v>
      </c>
      <c r="X74" s="318">
        <f t="shared" si="2"/>
        <v>0</v>
      </c>
      <c r="Y74" s="318">
        <f t="shared" si="3"/>
        <v>0</v>
      </c>
    </row>
    <row r="75" spans="2:25" x14ac:dyDescent="0.25">
      <c r="B75" s="92" t="s">
        <v>501</v>
      </c>
      <c r="C75" s="93"/>
      <c r="D75" s="43" t="s">
        <v>502</v>
      </c>
      <c r="E75" s="54" t="s">
        <v>503</v>
      </c>
      <c r="F75" s="55" t="s">
        <v>491</v>
      </c>
      <c r="G75" s="55" t="s">
        <v>504</v>
      </c>
      <c r="H75" s="202" t="s">
        <v>493</v>
      </c>
      <c r="I75" s="55" t="s">
        <v>298</v>
      </c>
      <c r="J75" s="55"/>
      <c r="K75" s="45">
        <f t="shared" si="27"/>
        <v>190492.9411764706</v>
      </c>
      <c r="L75" s="45">
        <f t="shared" si="28"/>
        <v>14286.970588235294</v>
      </c>
      <c r="M75" s="45">
        <f t="shared" si="29"/>
        <v>14286.970588235294</v>
      </c>
      <c r="N75" s="45"/>
      <c r="O75" s="45"/>
      <c r="P75" s="45">
        <v>161919</v>
      </c>
      <c r="Q75" s="94"/>
      <c r="R75" s="95">
        <v>43266</v>
      </c>
      <c r="S75" s="46">
        <v>43289</v>
      </c>
      <c r="T75" s="86">
        <v>-1</v>
      </c>
      <c r="U75" s="318">
        <f t="shared" si="4"/>
        <v>0</v>
      </c>
      <c r="V75" s="318">
        <f t="shared" si="0"/>
        <v>0</v>
      </c>
      <c r="W75" s="318">
        <f t="shared" si="1"/>
        <v>161919</v>
      </c>
      <c r="X75" s="318">
        <f t="shared" si="2"/>
        <v>0</v>
      </c>
      <c r="Y75" s="318">
        <f t="shared" si="3"/>
        <v>0</v>
      </c>
    </row>
    <row r="76" spans="2:25" ht="24" x14ac:dyDescent="0.25">
      <c r="B76" s="92" t="s">
        <v>506</v>
      </c>
      <c r="C76" s="93"/>
      <c r="D76" s="43" t="s">
        <v>507</v>
      </c>
      <c r="E76" s="54" t="s">
        <v>508</v>
      </c>
      <c r="F76" s="55" t="s">
        <v>491</v>
      </c>
      <c r="G76" s="55" t="s">
        <v>509</v>
      </c>
      <c r="H76" s="202" t="s">
        <v>493</v>
      </c>
      <c r="I76" s="55" t="s">
        <v>298</v>
      </c>
      <c r="J76" s="55"/>
      <c r="K76" s="45">
        <f t="shared" si="27"/>
        <v>121941.17647058824</v>
      </c>
      <c r="L76" s="45">
        <f t="shared" si="28"/>
        <v>9145.5882352941171</v>
      </c>
      <c r="M76" s="45">
        <f t="shared" si="29"/>
        <v>9145.5882352941171</v>
      </c>
      <c r="N76" s="45"/>
      <c r="O76" s="45"/>
      <c r="P76" s="45">
        <v>103650</v>
      </c>
      <c r="Q76" s="94"/>
      <c r="R76" s="95">
        <v>43266</v>
      </c>
      <c r="S76" s="46">
        <v>43285</v>
      </c>
      <c r="T76" s="86">
        <v>-1</v>
      </c>
      <c r="U76" s="318">
        <f t="shared" si="4"/>
        <v>0</v>
      </c>
      <c r="V76" s="318">
        <f t="shared" si="0"/>
        <v>0</v>
      </c>
      <c r="W76" s="318">
        <f t="shared" si="1"/>
        <v>103650</v>
      </c>
      <c r="X76" s="318">
        <f t="shared" si="2"/>
        <v>0</v>
      </c>
      <c r="Y76" s="318">
        <f t="shared" si="3"/>
        <v>0</v>
      </c>
    </row>
    <row r="77" spans="2:25" x14ac:dyDescent="0.25">
      <c r="B77" s="105" t="s">
        <v>511</v>
      </c>
      <c r="C77" s="100"/>
      <c r="D77" s="365" t="s">
        <v>512</v>
      </c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7"/>
      <c r="U77" s="321"/>
      <c r="V77" s="321"/>
      <c r="W77" s="321"/>
      <c r="X77" s="321"/>
      <c r="Y77" s="321"/>
    </row>
    <row r="78" spans="2:25" ht="48" x14ac:dyDescent="0.25">
      <c r="B78" s="235" t="s">
        <v>707</v>
      </c>
      <c r="C78" s="235"/>
      <c r="D78" s="47" t="s">
        <v>708</v>
      </c>
      <c r="E78" s="159" t="s">
        <v>709</v>
      </c>
      <c r="F78" s="159" t="s">
        <v>491</v>
      </c>
      <c r="G78" s="53" t="s">
        <v>426</v>
      </c>
      <c r="H78" s="159" t="s">
        <v>710</v>
      </c>
      <c r="I78" s="159" t="s">
        <v>298</v>
      </c>
      <c r="J78" s="222"/>
      <c r="K78" s="45">
        <f t="shared" si="27"/>
        <v>12312.235294117647</v>
      </c>
      <c r="L78" s="73">
        <v>923.4176470588236</v>
      </c>
      <c r="M78" s="73">
        <v>923.4176470588236</v>
      </c>
      <c r="N78" s="73"/>
      <c r="O78" s="73"/>
      <c r="P78" s="73">
        <v>10465.4</v>
      </c>
      <c r="Q78" s="222"/>
      <c r="R78" s="46">
        <v>43311</v>
      </c>
      <c r="S78" s="331">
        <v>43313</v>
      </c>
      <c r="T78" s="93" t="s">
        <v>34</v>
      </c>
      <c r="U78" s="318">
        <f t="shared" ref="U78:U142" si="31">IF(YEAR(S78)=2016,P78,0)</f>
        <v>0</v>
      </c>
      <c r="V78" s="318">
        <f t="shared" ref="V78:V142" si="32">IF(YEAR(S78)=2017,P78,0)</f>
        <v>0</v>
      </c>
      <c r="W78" s="318">
        <f t="shared" ref="W78:W142" si="33">IF(YEAR(S78)=2018,P78,0)</f>
        <v>10465.4</v>
      </c>
      <c r="X78" s="318">
        <f t="shared" ref="X78:X142" si="34">IF(YEAR(S78)=2019,P78,0)</f>
        <v>0</v>
      </c>
      <c r="Y78" s="318">
        <f t="shared" ref="Y78:Y142" si="35">IF(YEAR(S78)=2020,P78,0)</f>
        <v>0</v>
      </c>
    </row>
    <row r="79" spans="2:25" ht="36" x14ac:dyDescent="0.25">
      <c r="B79" s="235" t="s">
        <v>711</v>
      </c>
      <c r="C79" s="235"/>
      <c r="D79" s="47" t="s">
        <v>712</v>
      </c>
      <c r="E79" s="159" t="s">
        <v>308</v>
      </c>
      <c r="F79" s="159" t="s">
        <v>491</v>
      </c>
      <c r="G79" s="53" t="s">
        <v>713</v>
      </c>
      <c r="H79" s="159" t="s">
        <v>710</v>
      </c>
      <c r="I79" s="159" t="s">
        <v>298</v>
      </c>
      <c r="J79" s="159"/>
      <c r="K79" s="45">
        <f t="shared" si="27"/>
        <v>4317</v>
      </c>
      <c r="L79" s="73">
        <v>323.7</v>
      </c>
      <c r="M79" s="73">
        <v>323.7</v>
      </c>
      <c r="N79" s="73"/>
      <c r="O79" s="73"/>
      <c r="P79" s="73">
        <v>3669.6</v>
      </c>
      <c r="Q79" s="159"/>
      <c r="R79" s="46">
        <v>43373</v>
      </c>
      <c r="S79" s="46">
        <v>43285</v>
      </c>
      <c r="T79" s="86" t="s">
        <v>34</v>
      </c>
      <c r="U79" s="318">
        <f t="shared" si="31"/>
        <v>0</v>
      </c>
      <c r="V79" s="318">
        <f t="shared" si="32"/>
        <v>0</v>
      </c>
      <c r="W79" s="318">
        <f t="shared" si="33"/>
        <v>3669.6</v>
      </c>
      <c r="X79" s="318">
        <f t="shared" si="34"/>
        <v>0</v>
      </c>
      <c r="Y79" s="318">
        <f t="shared" si="35"/>
        <v>0</v>
      </c>
    </row>
    <row r="80" spans="2:25" ht="48" x14ac:dyDescent="0.25">
      <c r="B80" s="238" t="s">
        <v>714</v>
      </c>
      <c r="C80" s="238"/>
      <c r="D80" s="119" t="s">
        <v>715</v>
      </c>
      <c r="E80" s="53" t="s">
        <v>716</v>
      </c>
      <c r="F80" s="53" t="s">
        <v>491</v>
      </c>
      <c r="G80" s="53" t="s">
        <v>575</v>
      </c>
      <c r="H80" s="53" t="s">
        <v>710</v>
      </c>
      <c r="I80" s="53" t="s">
        <v>298</v>
      </c>
      <c r="J80" s="57"/>
      <c r="K80" s="45">
        <f t="shared" si="27"/>
        <v>10980</v>
      </c>
      <c r="L80" s="73">
        <v>823.5</v>
      </c>
      <c r="M80" s="73">
        <v>823.5</v>
      </c>
      <c r="N80" s="73"/>
      <c r="O80" s="73"/>
      <c r="P80" s="73">
        <v>9333</v>
      </c>
      <c r="Q80" s="99"/>
      <c r="R80" s="46">
        <v>43373</v>
      </c>
      <c r="S80" s="46">
        <v>43285</v>
      </c>
      <c r="T80" s="86" t="s">
        <v>34</v>
      </c>
      <c r="U80" s="318">
        <f t="shared" si="31"/>
        <v>0</v>
      </c>
      <c r="V80" s="318">
        <f t="shared" si="32"/>
        <v>0</v>
      </c>
      <c r="W80" s="318">
        <f t="shared" si="33"/>
        <v>9333</v>
      </c>
      <c r="X80" s="318">
        <f t="shared" si="34"/>
        <v>0</v>
      </c>
      <c r="Y80" s="318">
        <f t="shared" si="35"/>
        <v>0</v>
      </c>
    </row>
    <row r="81" spans="2:25" ht="36" x14ac:dyDescent="0.25">
      <c r="B81" s="238" t="s">
        <v>717</v>
      </c>
      <c r="C81" s="238"/>
      <c r="D81" s="119" t="s">
        <v>718</v>
      </c>
      <c r="E81" s="53" t="s">
        <v>719</v>
      </c>
      <c r="F81" s="53" t="s">
        <v>491</v>
      </c>
      <c r="G81" s="53" t="s">
        <v>390</v>
      </c>
      <c r="H81" s="53" t="s">
        <v>710</v>
      </c>
      <c r="I81" s="53" t="s">
        <v>298</v>
      </c>
      <c r="J81" s="57"/>
      <c r="K81" s="45">
        <f t="shared" si="27"/>
        <v>17152.939999999999</v>
      </c>
      <c r="L81" s="73">
        <v>1286.47</v>
      </c>
      <c r="M81" s="73">
        <v>1286.47</v>
      </c>
      <c r="N81" s="73"/>
      <c r="O81" s="73"/>
      <c r="P81" s="73">
        <v>14580</v>
      </c>
      <c r="Q81" s="99"/>
      <c r="R81" s="46">
        <v>43464</v>
      </c>
      <c r="S81" s="93"/>
      <c r="T81" s="93"/>
      <c r="U81" s="318">
        <f t="shared" si="31"/>
        <v>0</v>
      </c>
      <c r="V81" s="318">
        <f t="shared" si="32"/>
        <v>0</v>
      </c>
      <c r="W81" s="318">
        <f t="shared" si="33"/>
        <v>0</v>
      </c>
      <c r="X81" s="318">
        <f t="shared" si="34"/>
        <v>0</v>
      </c>
      <c r="Y81" s="318">
        <f t="shared" si="35"/>
        <v>0</v>
      </c>
    </row>
    <row r="82" spans="2:25" x14ac:dyDescent="0.25">
      <c r="B82" s="105" t="s">
        <v>513</v>
      </c>
      <c r="C82" s="100"/>
      <c r="D82" s="391" t="s">
        <v>514</v>
      </c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21"/>
      <c r="V82" s="321"/>
      <c r="W82" s="321"/>
      <c r="X82" s="321"/>
      <c r="Y82" s="321"/>
    </row>
    <row r="83" spans="2:25" ht="24" x14ac:dyDescent="0.25">
      <c r="B83" s="159" t="s">
        <v>720</v>
      </c>
      <c r="C83" s="159"/>
      <c r="D83" s="47" t="s">
        <v>721</v>
      </c>
      <c r="E83" s="53" t="s">
        <v>308</v>
      </c>
      <c r="F83" s="53" t="s">
        <v>491</v>
      </c>
      <c r="G83" s="53" t="s">
        <v>713</v>
      </c>
      <c r="H83" s="159" t="s">
        <v>722</v>
      </c>
      <c r="I83" s="159" t="s">
        <v>298</v>
      </c>
      <c r="J83" s="222"/>
      <c r="K83" s="45">
        <f t="shared" si="27"/>
        <v>33913.85</v>
      </c>
      <c r="L83" s="73">
        <v>2543.5300000000002</v>
      </c>
      <c r="M83" s="73">
        <v>2543.5300000000002</v>
      </c>
      <c r="N83" s="73"/>
      <c r="O83" s="73"/>
      <c r="P83" s="73">
        <v>28826.79</v>
      </c>
      <c r="Q83" s="222"/>
      <c r="R83" s="46">
        <v>43464</v>
      </c>
      <c r="S83" s="93"/>
      <c r="T83" s="93"/>
      <c r="U83" s="318">
        <f t="shared" si="31"/>
        <v>0</v>
      </c>
      <c r="V83" s="318">
        <f t="shared" si="32"/>
        <v>0</v>
      </c>
      <c r="W83" s="318">
        <f t="shared" si="33"/>
        <v>0</v>
      </c>
      <c r="X83" s="318">
        <f t="shared" si="34"/>
        <v>0</v>
      </c>
      <c r="Y83" s="318">
        <f t="shared" si="35"/>
        <v>0</v>
      </c>
    </row>
    <row r="84" spans="2:25" ht="24" x14ac:dyDescent="0.25">
      <c r="B84" s="159" t="s">
        <v>723</v>
      </c>
      <c r="C84" s="159"/>
      <c r="D84" s="47" t="s">
        <v>724</v>
      </c>
      <c r="E84" s="53" t="s">
        <v>725</v>
      </c>
      <c r="F84" s="53" t="s">
        <v>491</v>
      </c>
      <c r="G84" s="53" t="s">
        <v>713</v>
      </c>
      <c r="H84" s="159" t="s">
        <v>722</v>
      </c>
      <c r="I84" s="159" t="s">
        <v>298</v>
      </c>
      <c r="J84" s="222"/>
      <c r="K84" s="45">
        <f t="shared" si="27"/>
        <v>34079.07</v>
      </c>
      <c r="L84" s="73"/>
      <c r="M84" s="73">
        <v>2555.9299999999998</v>
      </c>
      <c r="N84" s="73">
        <v>2555.9299999999998</v>
      </c>
      <c r="O84" s="73"/>
      <c r="P84" s="73">
        <v>28967.21</v>
      </c>
      <c r="Q84" s="222"/>
      <c r="R84" s="46">
        <v>43434</v>
      </c>
      <c r="S84" s="93"/>
      <c r="T84" s="93"/>
      <c r="U84" s="318">
        <f t="shared" ref="U84:U99" si="36">IF(YEAR(S84)=2016,P84,0)</f>
        <v>0</v>
      </c>
      <c r="V84" s="318">
        <f t="shared" ref="V84:V99" si="37">IF(YEAR(S84)=2017,P84,0)</f>
        <v>0</v>
      </c>
      <c r="W84" s="318">
        <f t="shared" ref="W84:W99" si="38">IF(YEAR(S84)=2018,P84,0)</f>
        <v>0</v>
      </c>
      <c r="X84" s="318">
        <f t="shared" ref="X84:X99" si="39">IF(YEAR(S84)=2019,P84,0)</f>
        <v>0</v>
      </c>
      <c r="Y84" s="318">
        <f t="shared" ref="Y84:Y99" si="40">IF(YEAR(S84)=2020,P84,0)</f>
        <v>0</v>
      </c>
    </row>
    <row r="85" spans="2:25" ht="36" x14ac:dyDescent="0.25">
      <c r="B85" s="159" t="s">
        <v>726</v>
      </c>
      <c r="C85" s="159"/>
      <c r="D85" s="47" t="s">
        <v>727</v>
      </c>
      <c r="E85" s="53" t="s">
        <v>728</v>
      </c>
      <c r="F85" s="53" t="s">
        <v>491</v>
      </c>
      <c r="G85" s="53" t="s">
        <v>729</v>
      </c>
      <c r="H85" s="159" t="s">
        <v>722</v>
      </c>
      <c r="I85" s="159" t="s">
        <v>298</v>
      </c>
      <c r="J85" s="222"/>
      <c r="K85" s="45">
        <f t="shared" si="27"/>
        <v>178381.68000000002</v>
      </c>
      <c r="L85" s="73">
        <v>13378.64</v>
      </c>
      <c r="M85" s="73">
        <v>13378.62</v>
      </c>
      <c r="N85" s="73"/>
      <c r="O85" s="73"/>
      <c r="P85" s="73">
        <v>151624.42000000001</v>
      </c>
      <c r="Q85" s="222"/>
      <c r="R85" s="46">
        <v>43434</v>
      </c>
      <c r="S85" s="93"/>
      <c r="T85" s="93"/>
      <c r="U85" s="318">
        <f t="shared" si="36"/>
        <v>0</v>
      </c>
      <c r="V85" s="318">
        <f t="shared" si="37"/>
        <v>0</v>
      </c>
      <c r="W85" s="318">
        <f t="shared" si="38"/>
        <v>0</v>
      </c>
      <c r="X85" s="318">
        <f t="shared" si="39"/>
        <v>0</v>
      </c>
      <c r="Y85" s="318">
        <f t="shared" si="40"/>
        <v>0</v>
      </c>
    </row>
    <row r="86" spans="2:25" ht="36" x14ac:dyDescent="0.25">
      <c r="B86" s="159" t="s">
        <v>730</v>
      </c>
      <c r="C86" s="159"/>
      <c r="D86" s="47" t="s">
        <v>731</v>
      </c>
      <c r="E86" s="53" t="s">
        <v>732</v>
      </c>
      <c r="F86" s="53" t="s">
        <v>491</v>
      </c>
      <c r="G86" s="53" t="s">
        <v>729</v>
      </c>
      <c r="H86" s="159" t="s">
        <v>722</v>
      </c>
      <c r="I86" s="159" t="s">
        <v>298</v>
      </c>
      <c r="J86" s="222"/>
      <c r="K86" s="45">
        <f t="shared" si="27"/>
        <v>24189.1</v>
      </c>
      <c r="L86" s="73"/>
      <c r="M86" s="73">
        <v>1814.18</v>
      </c>
      <c r="N86" s="73">
        <v>1814.19</v>
      </c>
      <c r="O86" s="73"/>
      <c r="P86" s="73">
        <v>20560.73</v>
      </c>
      <c r="Q86" s="222"/>
      <c r="R86" s="46">
        <v>43434</v>
      </c>
      <c r="S86" s="93"/>
      <c r="T86" s="93"/>
      <c r="U86" s="318">
        <f t="shared" si="36"/>
        <v>0</v>
      </c>
      <c r="V86" s="318">
        <f t="shared" si="37"/>
        <v>0</v>
      </c>
      <c r="W86" s="318">
        <f t="shared" si="38"/>
        <v>0</v>
      </c>
      <c r="X86" s="318">
        <f t="shared" si="39"/>
        <v>0</v>
      </c>
      <c r="Y86" s="318">
        <f t="shared" si="40"/>
        <v>0</v>
      </c>
    </row>
    <row r="87" spans="2:25" ht="36" x14ac:dyDescent="0.25">
      <c r="B87" s="159" t="s">
        <v>733</v>
      </c>
      <c r="C87" s="159"/>
      <c r="D87" s="47" t="s">
        <v>734</v>
      </c>
      <c r="E87" s="53" t="s">
        <v>735</v>
      </c>
      <c r="F87" s="53" t="s">
        <v>491</v>
      </c>
      <c r="G87" s="53" t="s">
        <v>729</v>
      </c>
      <c r="H87" s="159" t="s">
        <v>722</v>
      </c>
      <c r="I87" s="159" t="s">
        <v>298</v>
      </c>
      <c r="J87" s="222"/>
      <c r="K87" s="45">
        <f t="shared" si="27"/>
        <v>23626.350000000002</v>
      </c>
      <c r="L87" s="73"/>
      <c r="M87" s="73">
        <v>1771.97</v>
      </c>
      <c r="N87" s="73">
        <v>1771.98</v>
      </c>
      <c r="O87" s="73"/>
      <c r="P87" s="73">
        <v>20082.400000000001</v>
      </c>
      <c r="Q87" s="222"/>
      <c r="R87" s="46">
        <v>43434</v>
      </c>
      <c r="S87" s="93"/>
      <c r="T87" s="93"/>
      <c r="U87" s="318">
        <f t="shared" si="36"/>
        <v>0</v>
      </c>
      <c r="V87" s="318">
        <f t="shared" si="37"/>
        <v>0</v>
      </c>
      <c r="W87" s="318">
        <f t="shared" si="38"/>
        <v>0</v>
      </c>
      <c r="X87" s="318">
        <f t="shared" si="39"/>
        <v>0</v>
      </c>
      <c r="Y87" s="318">
        <f t="shared" si="40"/>
        <v>0</v>
      </c>
    </row>
    <row r="88" spans="2:25" ht="36" x14ac:dyDescent="0.25">
      <c r="B88" s="159" t="s">
        <v>736</v>
      </c>
      <c r="C88" s="159"/>
      <c r="D88" s="47" t="s">
        <v>737</v>
      </c>
      <c r="E88" s="53" t="s">
        <v>738</v>
      </c>
      <c r="F88" s="53" t="s">
        <v>491</v>
      </c>
      <c r="G88" s="53" t="s">
        <v>729</v>
      </c>
      <c r="H88" s="159" t="s">
        <v>722</v>
      </c>
      <c r="I88" s="159" t="s">
        <v>298</v>
      </c>
      <c r="J88" s="222"/>
      <c r="K88" s="45">
        <f t="shared" si="27"/>
        <v>14262.54</v>
      </c>
      <c r="L88" s="73"/>
      <c r="M88" s="73">
        <v>1069.69</v>
      </c>
      <c r="N88" s="73">
        <v>1069.7</v>
      </c>
      <c r="O88" s="73"/>
      <c r="P88" s="73">
        <v>12123.15</v>
      </c>
      <c r="Q88" s="222"/>
      <c r="R88" s="46">
        <v>43434</v>
      </c>
      <c r="S88" s="93"/>
      <c r="T88" s="93"/>
      <c r="U88" s="318">
        <f t="shared" si="36"/>
        <v>0</v>
      </c>
      <c r="V88" s="318">
        <f t="shared" si="37"/>
        <v>0</v>
      </c>
      <c r="W88" s="318">
        <f t="shared" si="38"/>
        <v>0</v>
      </c>
      <c r="X88" s="318">
        <f t="shared" si="39"/>
        <v>0</v>
      </c>
      <c r="Y88" s="318">
        <f t="shared" si="40"/>
        <v>0</v>
      </c>
    </row>
    <row r="89" spans="2:25" ht="36" x14ac:dyDescent="0.25">
      <c r="B89" s="159" t="s">
        <v>739</v>
      </c>
      <c r="C89" s="159"/>
      <c r="D89" s="47" t="s">
        <v>740</v>
      </c>
      <c r="E89" s="53" t="s">
        <v>741</v>
      </c>
      <c r="F89" s="53" t="s">
        <v>491</v>
      </c>
      <c r="G89" s="53" t="s">
        <v>729</v>
      </c>
      <c r="H89" s="159" t="s">
        <v>722</v>
      </c>
      <c r="I89" s="159" t="s">
        <v>298</v>
      </c>
      <c r="J89" s="222"/>
      <c r="K89" s="45">
        <f t="shared" si="27"/>
        <v>21476.829999999998</v>
      </c>
      <c r="L89" s="73"/>
      <c r="M89" s="73">
        <v>1610.76</v>
      </c>
      <c r="N89" s="73">
        <v>1610.77</v>
      </c>
      <c r="O89" s="73"/>
      <c r="P89" s="73">
        <v>18255.3</v>
      </c>
      <c r="Q89" s="222"/>
      <c r="R89" s="46">
        <v>43434</v>
      </c>
      <c r="S89" s="93"/>
      <c r="T89" s="93"/>
      <c r="U89" s="318">
        <f t="shared" si="36"/>
        <v>0</v>
      </c>
      <c r="V89" s="318">
        <f t="shared" si="37"/>
        <v>0</v>
      </c>
      <c r="W89" s="318">
        <f t="shared" si="38"/>
        <v>0</v>
      </c>
      <c r="X89" s="318">
        <f t="shared" si="39"/>
        <v>0</v>
      </c>
      <c r="Y89" s="318">
        <f t="shared" si="40"/>
        <v>0</v>
      </c>
    </row>
    <row r="90" spans="2:25" ht="24" x14ac:dyDescent="0.25">
      <c r="B90" s="159" t="s">
        <v>742</v>
      </c>
      <c r="C90" s="159"/>
      <c r="D90" s="47" t="s">
        <v>743</v>
      </c>
      <c r="E90" s="53" t="s">
        <v>744</v>
      </c>
      <c r="F90" s="53" t="s">
        <v>491</v>
      </c>
      <c r="G90" s="53" t="s">
        <v>342</v>
      </c>
      <c r="H90" s="159" t="s">
        <v>722</v>
      </c>
      <c r="I90" s="159" t="s">
        <v>298</v>
      </c>
      <c r="J90" s="222"/>
      <c r="K90" s="45">
        <f t="shared" si="27"/>
        <v>100228.23</v>
      </c>
      <c r="L90" s="73">
        <v>7517.12</v>
      </c>
      <c r="M90" s="73">
        <v>7517.11</v>
      </c>
      <c r="N90" s="73"/>
      <c r="O90" s="73"/>
      <c r="P90" s="73">
        <v>85194</v>
      </c>
      <c r="Q90" s="222"/>
      <c r="R90" s="46">
        <v>43464</v>
      </c>
      <c r="S90" s="93"/>
      <c r="T90" s="93"/>
      <c r="U90" s="318">
        <f t="shared" si="36"/>
        <v>0</v>
      </c>
      <c r="V90" s="318">
        <f t="shared" si="37"/>
        <v>0</v>
      </c>
      <c r="W90" s="318">
        <f t="shared" si="38"/>
        <v>0</v>
      </c>
      <c r="X90" s="318">
        <f t="shared" si="39"/>
        <v>0</v>
      </c>
      <c r="Y90" s="318">
        <f t="shared" si="40"/>
        <v>0</v>
      </c>
    </row>
    <row r="91" spans="2:25" ht="36" x14ac:dyDescent="0.25">
      <c r="B91" s="159" t="s">
        <v>745</v>
      </c>
      <c r="C91" s="159"/>
      <c r="D91" s="47" t="s">
        <v>746</v>
      </c>
      <c r="E91" s="53" t="s">
        <v>747</v>
      </c>
      <c r="F91" s="53" t="s">
        <v>491</v>
      </c>
      <c r="G91" s="53" t="s">
        <v>342</v>
      </c>
      <c r="H91" s="159" t="s">
        <v>722</v>
      </c>
      <c r="I91" s="159" t="s">
        <v>298</v>
      </c>
      <c r="J91" s="222"/>
      <c r="K91" s="45">
        <f t="shared" si="27"/>
        <v>52792.94</v>
      </c>
      <c r="L91" s="73"/>
      <c r="M91" s="73">
        <v>3959.47</v>
      </c>
      <c r="N91" s="73">
        <v>3959.47</v>
      </c>
      <c r="O91" s="73"/>
      <c r="P91" s="73">
        <v>44874</v>
      </c>
      <c r="Q91" s="222"/>
      <c r="R91" s="46">
        <v>43464</v>
      </c>
      <c r="S91" s="93"/>
      <c r="T91" s="93"/>
      <c r="U91" s="318">
        <f t="shared" si="36"/>
        <v>0</v>
      </c>
      <c r="V91" s="318">
        <f t="shared" si="37"/>
        <v>0</v>
      </c>
      <c r="W91" s="318">
        <f t="shared" si="38"/>
        <v>0</v>
      </c>
      <c r="X91" s="318">
        <f t="shared" si="39"/>
        <v>0</v>
      </c>
      <c r="Y91" s="318">
        <f t="shared" si="40"/>
        <v>0</v>
      </c>
    </row>
    <row r="92" spans="2:25" ht="36" x14ac:dyDescent="0.25">
      <c r="B92" s="159" t="s">
        <v>748</v>
      </c>
      <c r="C92" s="159"/>
      <c r="D92" s="47" t="s">
        <v>749</v>
      </c>
      <c r="E92" s="53" t="s">
        <v>750</v>
      </c>
      <c r="F92" s="53" t="s">
        <v>491</v>
      </c>
      <c r="G92" s="53" t="s">
        <v>342</v>
      </c>
      <c r="H92" s="159" t="s">
        <v>722</v>
      </c>
      <c r="I92" s="159" t="s">
        <v>298</v>
      </c>
      <c r="J92" s="222"/>
      <c r="K92" s="45">
        <f t="shared" si="27"/>
        <v>21270.58</v>
      </c>
      <c r="L92" s="73">
        <v>1595.29</v>
      </c>
      <c r="M92" s="73">
        <v>1595.29</v>
      </c>
      <c r="N92" s="73"/>
      <c r="O92" s="73"/>
      <c r="P92" s="73">
        <v>18080</v>
      </c>
      <c r="Q92" s="222"/>
      <c r="R92" s="46">
        <v>43464</v>
      </c>
      <c r="S92" s="93"/>
      <c r="T92" s="93"/>
      <c r="U92" s="318">
        <f t="shared" si="36"/>
        <v>0</v>
      </c>
      <c r="V92" s="318">
        <f t="shared" si="37"/>
        <v>0</v>
      </c>
      <c r="W92" s="318">
        <f t="shared" si="38"/>
        <v>0</v>
      </c>
      <c r="X92" s="318">
        <f t="shared" si="39"/>
        <v>0</v>
      </c>
      <c r="Y92" s="318">
        <f t="shared" si="40"/>
        <v>0</v>
      </c>
    </row>
    <row r="93" spans="2:25" ht="36" x14ac:dyDescent="0.25">
      <c r="B93" s="159" t="s">
        <v>751</v>
      </c>
      <c r="C93" s="159"/>
      <c r="D93" s="47" t="s">
        <v>752</v>
      </c>
      <c r="E93" s="53" t="s">
        <v>753</v>
      </c>
      <c r="F93" s="53" t="s">
        <v>491</v>
      </c>
      <c r="G93" s="53" t="s">
        <v>342</v>
      </c>
      <c r="H93" s="159" t="s">
        <v>722</v>
      </c>
      <c r="I93" s="159" t="s">
        <v>298</v>
      </c>
      <c r="J93" s="222"/>
      <c r="K93" s="45">
        <f t="shared" si="27"/>
        <v>18170.59</v>
      </c>
      <c r="L93" s="73">
        <v>1362.8</v>
      </c>
      <c r="M93" s="73">
        <v>1362.79</v>
      </c>
      <c r="N93" s="73"/>
      <c r="O93" s="73"/>
      <c r="P93" s="73">
        <v>15445</v>
      </c>
      <c r="Q93" s="222"/>
      <c r="R93" s="46">
        <v>43464</v>
      </c>
      <c r="S93" s="93"/>
      <c r="T93" s="93"/>
      <c r="U93" s="318">
        <f t="shared" si="36"/>
        <v>0</v>
      </c>
      <c r="V93" s="318">
        <f t="shared" si="37"/>
        <v>0</v>
      </c>
      <c r="W93" s="318">
        <f t="shared" si="38"/>
        <v>0</v>
      </c>
      <c r="X93" s="318">
        <f t="shared" si="39"/>
        <v>0</v>
      </c>
      <c r="Y93" s="318">
        <f t="shared" si="40"/>
        <v>0</v>
      </c>
    </row>
    <row r="94" spans="2:25" ht="36" x14ac:dyDescent="0.25">
      <c r="B94" s="159" t="s">
        <v>754</v>
      </c>
      <c r="C94" s="159"/>
      <c r="D94" s="47" t="s">
        <v>755</v>
      </c>
      <c r="E94" s="53" t="s">
        <v>756</v>
      </c>
      <c r="F94" s="53" t="s">
        <v>491</v>
      </c>
      <c r="G94" s="53" t="s">
        <v>342</v>
      </c>
      <c r="H94" s="159" t="s">
        <v>722</v>
      </c>
      <c r="I94" s="159" t="s">
        <v>298</v>
      </c>
      <c r="J94" s="222"/>
      <c r="K94" s="45">
        <f t="shared" si="27"/>
        <v>24982.35</v>
      </c>
      <c r="L94" s="73">
        <v>1873.68</v>
      </c>
      <c r="M94" s="73">
        <v>1873.67</v>
      </c>
      <c r="N94" s="73"/>
      <c r="O94" s="73"/>
      <c r="P94" s="73">
        <v>21235</v>
      </c>
      <c r="Q94" s="222"/>
      <c r="R94" s="46">
        <v>43464</v>
      </c>
      <c r="S94" s="93"/>
      <c r="T94" s="93"/>
      <c r="U94" s="318">
        <f t="shared" si="36"/>
        <v>0</v>
      </c>
      <c r="V94" s="318">
        <f t="shared" si="37"/>
        <v>0</v>
      </c>
      <c r="W94" s="318">
        <f t="shared" si="38"/>
        <v>0</v>
      </c>
      <c r="X94" s="318">
        <f t="shared" si="39"/>
        <v>0</v>
      </c>
      <c r="Y94" s="318">
        <f t="shared" si="40"/>
        <v>0</v>
      </c>
    </row>
    <row r="95" spans="2:25" ht="24" x14ac:dyDescent="0.25">
      <c r="B95" s="159" t="s">
        <v>757</v>
      </c>
      <c r="C95" s="159"/>
      <c r="D95" s="47" t="s">
        <v>758</v>
      </c>
      <c r="E95" s="53" t="s">
        <v>759</v>
      </c>
      <c r="F95" s="53" t="s">
        <v>491</v>
      </c>
      <c r="G95" s="53" t="s">
        <v>342</v>
      </c>
      <c r="H95" s="159" t="s">
        <v>722</v>
      </c>
      <c r="I95" s="159" t="s">
        <v>298</v>
      </c>
      <c r="J95" s="222"/>
      <c r="K95" s="45">
        <f t="shared" si="27"/>
        <v>17587.04</v>
      </c>
      <c r="L95" s="73">
        <v>1319.02</v>
      </c>
      <c r="M95" s="73">
        <v>1319.02</v>
      </c>
      <c r="N95" s="73"/>
      <c r="O95" s="73"/>
      <c r="P95" s="73">
        <v>14949</v>
      </c>
      <c r="Q95" s="222"/>
      <c r="R95" s="46">
        <v>43554</v>
      </c>
      <c r="S95" s="93"/>
      <c r="T95" s="93"/>
      <c r="U95" s="318">
        <f t="shared" si="36"/>
        <v>0</v>
      </c>
      <c r="V95" s="318">
        <f t="shared" si="37"/>
        <v>0</v>
      </c>
      <c r="W95" s="318">
        <f t="shared" si="38"/>
        <v>0</v>
      </c>
      <c r="X95" s="318">
        <f t="shared" si="39"/>
        <v>0</v>
      </c>
      <c r="Y95" s="318">
        <f t="shared" si="40"/>
        <v>0</v>
      </c>
    </row>
    <row r="96" spans="2:25" ht="36" x14ac:dyDescent="0.25">
      <c r="B96" s="159" t="s">
        <v>760</v>
      </c>
      <c r="C96" s="159"/>
      <c r="D96" s="47" t="s">
        <v>761</v>
      </c>
      <c r="E96" s="53" t="s">
        <v>762</v>
      </c>
      <c r="F96" s="53" t="s">
        <v>491</v>
      </c>
      <c r="G96" s="53" t="s">
        <v>763</v>
      </c>
      <c r="H96" s="159" t="s">
        <v>722</v>
      </c>
      <c r="I96" s="159" t="s">
        <v>298</v>
      </c>
      <c r="J96" s="222"/>
      <c r="K96" s="45">
        <f t="shared" si="27"/>
        <v>240523</v>
      </c>
      <c r="L96" s="73">
        <v>18039.23</v>
      </c>
      <c r="M96" s="73">
        <v>18039.22</v>
      </c>
      <c r="N96" s="73"/>
      <c r="O96" s="73"/>
      <c r="P96" s="73">
        <v>204444.55</v>
      </c>
      <c r="Q96" s="222"/>
      <c r="R96" s="46">
        <v>43434</v>
      </c>
      <c r="S96" s="93"/>
      <c r="T96" s="93"/>
      <c r="U96" s="318">
        <f t="shared" si="36"/>
        <v>0</v>
      </c>
      <c r="V96" s="318">
        <f t="shared" si="37"/>
        <v>0</v>
      </c>
      <c r="W96" s="318">
        <f t="shared" si="38"/>
        <v>0</v>
      </c>
      <c r="X96" s="318">
        <f t="shared" si="39"/>
        <v>0</v>
      </c>
      <c r="Y96" s="318">
        <f t="shared" si="40"/>
        <v>0</v>
      </c>
    </row>
    <row r="97" spans="2:25" ht="24" x14ac:dyDescent="0.25">
      <c r="B97" s="159" t="s">
        <v>764</v>
      </c>
      <c r="C97" s="159"/>
      <c r="D97" s="47" t="s">
        <v>765</v>
      </c>
      <c r="E97" s="53" t="s">
        <v>766</v>
      </c>
      <c r="F97" s="53" t="s">
        <v>491</v>
      </c>
      <c r="G97" s="53" t="s">
        <v>763</v>
      </c>
      <c r="H97" s="159" t="s">
        <v>722</v>
      </c>
      <c r="I97" s="159" t="s">
        <v>298</v>
      </c>
      <c r="J97" s="222"/>
      <c r="K97" s="45">
        <f t="shared" si="27"/>
        <v>47242</v>
      </c>
      <c r="L97" s="73"/>
      <c r="M97" s="73">
        <v>3543.15</v>
      </c>
      <c r="N97" s="73">
        <v>3543.15</v>
      </c>
      <c r="O97" s="73"/>
      <c r="P97" s="73">
        <v>40155.699999999997</v>
      </c>
      <c r="Q97" s="222"/>
      <c r="R97" s="46">
        <v>43403</v>
      </c>
      <c r="S97" s="93"/>
      <c r="T97" s="93"/>
      <c r="U97" s="318">
        <f t="shared" si="36"/>
        <v>0</v>
      </c>
      <c r="V97" s="318">
        <f t="shared" si="37"/>
        <v>0</v>
      </c>
      <c r="W97" s="318">
        <f t="shared" si="38"/>
        <v>0</v>
      </c>
      <c r="X97" s="318">
        <f t="shared" si="39"/>
        <v>0</v>
      </c>
      <c r="Y97" s="318">
        <f t="shared" si="40"/>
        <v>0</v>
      </c>
    </row>
    <row r="98" spans="2:25" ht="36" x14ac:dyDescent="0.25">
      <c r="B98" s="159" t="s">
        <v>767</v>
      </c>
      <c r="C98" s="159"/>
      <c r="D98" s="47" t="s">
        <v>768</v>
      </c>
      <c r="E98" s="53" t="s">
        <v>769</v>
      </c>
      <c r="F98" s="53" t="s">
        <v>491</v>
      </c>
      <c r="G98" s="53" t="s">
        <v>763</v>
      </c>
      <c r="H98" s="159" t="s">
        <v>722</v>
      </c>
      <c r="I98" s="159" t="s">
        <v>298</v>
      </c>
      <c r="J98" s="222"/>
      <c r="K98" s="45">
        <f t="shared" si="27"/>
        <v>23724</v>
      </c>
      <c r="L98" s="73"/>
      <c r="M98" s="73">
        <v>1779.3</v>
      </c>
      <c r="N98" s="73">
        <v>1779.3</v>
      </c>
      <c r="O98" s="73"/>
      <c r="P98" s="73">
        <v>20165.400000000001</v>
      </c>
      <c r="Q98" s="222"/>
      <c r="R98" s="46">
        <v>43434</v>
      </c>
      <c r="S98" s="93"/>
      <c r="T98" s="93"/>
      <c r="U98" s="318">
        <f t="shared" si="36"/>
        <v>0</v>
      </c>
      <c r="V98" s="318">
        <f t="shared" si="37"/>
        <v>0</v>
      </c>
      <c r="W98" s="318">
        <f t="shared" si="38"/>
        <v>0</v>
      </c>
      <c r="X98" s="318">
        <f t="shared" si="39"/>
        <v>0</v>
      </c>
      <c r="Y98" s="318">
        <f t="shared" si="40"/>
        <v>0</v>
      </c>
    </row>
    <row r="99" spans="2:25" ht="36" x14ac:dyDescent="0.25">
      <c r="B99" s="159" t="s">
        <v>770</v>
      </c>
      <c r="C99" s="159"/>
      <c r="D99" s="47" t="s">
        <v>771</v>
      </c>
      <c r="E99" s="53" t="s">
        <v>772</v>
      </c>
      <c r="F99" s="53" t="s">
        <v>491</v>
      </c>
      <c r="G99" s="53" t="s">
        <v>763</v>
      </c>
      <c r="H99" s="159" t="s">
        <v>722</v>
      </c>
      <c r="I99" s="159" t="s">
        <v>298</v>
      </c>
      <c r="J99" s="222"/>
      <c r="K99" s="45">
        <f t="shared" si="27"/>
        <v>107171</v>
      </c>
      <c r="L99" s="73"/>
      <c r="M99" s="73">
        <v>8037.82</v>
      </c>
      <c r="N99" s="73">
        <v>8037.83</v>
      </c>
      <c r="O99" s="73"/>
      <c r="P99" s="73">
        <v>91095.35</v>
      </c>
      <c r="Q99" s="222"/>
      <c r="R99" s="46">
        <v>43434</v>
      </c>
      <c r="S99" s="93"/>
      <c r="T99" s="93"/>
      <c r="U99" s="318">
        <f t="shared" si="36"/>
        <v>0</v>
      </c>
      <c r="V99" s="318">
        <f t="shared" si="37"/>
        <v>0</v>
      </c>
      <c r="W99" s="318">
        <f t="shared" si="38"/>
        <v>0</v>
      </c>
      <c r="X99" s="318">
        <f t="shared" si="39"/>
        <v>0</v>
      </c>
      <c r="Y99" s="318">
        <f t="shared" si="40"/>
        <v>0</v>
      </c>
    </row>
    <row r="100" spans="2:25" x14ac:dyDescent="0.25">
      <c r="B100" s="101" t="s">
        <v>668</v>
      </c>
      <c r="C100" s="102"/>
      <c r="D100" s="374" t="s">
        <v>515</v>
      </c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6"/>
      <c r="U100" s="318"/>
      <c r="V100" s="318"/>
      <c r="W100" s="318"/>
      <c r="X100" s="318"/>
      <c r="Y100" s="318"/>
    </row>
    <row r="101" spans="2:25" x14ac:dyDescent="0.25">
      <c r="B101" s="105" t="s">
        <v>516</v>
      </c>
      <c r="C101" s="100"/>
      <c r="D101" s="365" t="s">
        <v>517</v>
      </c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7"/>
      <c r="U101" s="321"/>
      <c r="V101" s="321"/>
      <c r="W101" s="321"/>
      <c r="X101" s="321"/>
      <c r="Y101" s="321"/>
    </row>
    <row r="102" spans="2:25" ht="48" x14ac:dyDescent="0.25">
      <c r="B102" s="92" t="s">
        <v>518</v>
      </c>
      <c r="C102" s="93"/>
      <c r="D102" s="43" t="s">
        <v>519</v>
      </c>
      <c r="E102" s="54" t="s">
        <v>294</v>
      </c>
      <c r="F102" s="55" t="s">
        <v>520</v>
      </c>
      <c r="G102" s="55" t="s">
        <v>521</v>
      </c>
      <c r="H102" s="55" t="s">
        <v>706</v>
      </c>
      <c r="I102" s="55" t="s">
        <v>298</v>
      </c>
      <c r="J102" s="55"/>
      <c r="K102" s="45">
        <f t="shared" ref="K102:K110" si="41">SUM(L102:Q102)</f>
        <v>169733.46</v>
      </c>
      <c r="L102" s="45">
        <v>25460.02</v>
      </c>
      <c r="M102" s="45"/>
      <c r="N102" s="45"/>
      <c r="O102" s="45"/>
      <c r="P102" s="45">
        <v>144273.44</v>
      </c>
      <c r="Q102" s="99"/>
      <c r="R102" s="95">
        <v>42887</v>
      </c>
      <c r="S102" s="46">
        <v>42845</v>
      </c>
      <c r="T102" s="86" t="str">
        <f t="shared" ref="T102" si="42">IF(R102-S102&lt;0,(R102-S102)/30.41667,"–")</f>
        <v>–</v>
      </c>
      <c r="U102" s="318">
        <f t="shared" si="31"/>
        <v>0</v>
      </c>
      <c r="V102" s="318">
        <f t="shared" si="32"/>
        <v>144273.44</v>
      </c>
      <c r="W102" s="318">
        <f t="shared" si="33"/>
        <v>0</v>
      </c>
      <c r="X102" s="318">
        <f t="shared" si="34"/>
        <v>0</v>
      </c>
      <c r="Y102" s="318">
        <f t="shared" si="35"/>
        <v>0</v>
      </c>
    </row>
    <row r="103" spans="2:25" ht="36" x14ac:dyDescent="0.25">
      <c r="B103" s="92" t="s">
        <v>528</v>
      </c>
      <c r="C103" s="93"/>
      <c r="D103" s="43" t="s">
        <v>529</v>
      </c>
      <c r="E103" s="54" t="s">
        <v>308</v>
      </c>
      <c r="F103" s="55" t="s">
        <v>520</v>
      </c>
      <c r="G103" s="55" t="s">
        <v>349</v>
      </c>
      <c r="H103" s="55" t="s">
        <v>706</v>
      </c>
      <c r="I103" s="55" t="s">
        <v>298</v>
      </c>
      <c r="J103" s="55"/>
      <c r="K103" s="45">
        <f t="shared" si="41"/>
        <v>65250</v>
      </c>
      <c r="L103" s="45">
        <v>9788</v>
      </c>
      <c r="M103" s="45"/>
      <c r="N103" s="45"/>
      <c r="O103" s="45"/>
      <c r="P103" s="45">
        <v>55462</v>
      </c>
      <c r="Q103" s="99"/>
      <c r="R103" s="95">
        <v>42786</v>
      </c>
      <c r="S103" s="46">
        <v>42853</v>
      </c>
      <c r="T103" s="86">
        <f t="shared" ref="T103" si="43">IF(R103-S103&lt;0,(R103-S103)/30.41667,"–")</f>
        <v>-2.2027394846312895</v>
      </c>
      <c r="U103" s="318">
        <f t="shared" si="31"/>
        <v>0</v>
      </c>
      <c r="V103" s="318">
        <f t="shared" si="32"/>
        <v>55462</v>
      </c>
      <c r="W103" s="318">
        <f t="shared" si="33"/>
        <v>0</v>
      </c>
      <c r="X103" s="318">
        <f t="shared" si="34"/>
        <v>0</v>
      </c>
      <c r="Y103" s="318">
        <f t="shared" si="35"/>
        <v>0</v>
      </c>
    </row>
    <row r="104" spans="2:25" ht="36" x14ac:dyDescent="0.25">
      <c r="B104" s="92" t="s">
        <v>530</v>
      </c>
      <c r="C104" s="93"/>
      <c r="D104" s="43" t="s">
        <v>531</v>
      </c>
      <c r="E104" s="54" t="s">
        <v>328</v>
      </c>
      <c r="F104" s="55" t="s">
        <v>520</v>
      </c>
      <c r="G104" s="55" t="s">
        <v>426</v>
      </c>
      <c r="H104" s="55" t="s">
        <v>706</v>
      </c>
      <c r="I104" s="55" t="s">
        <v>298</v>
      </c>
      <c r="J104" s="55"/>
      <c r="K104" s="45">
        <f t="shared" si="41"/>
        <v>191806.42</v>
      </c>
      <c r="L104" s="45">
        <v>28770.97</v>
      </c>
      <c r="M104" s="45"/>
      <c r="N104" s="45"/>
      <c r="O104" s="45"/>
      <c r="P104" s="45">
        <v>163035.45000000001</v>
      </c>
      <c r="Q104" s="99"/>
      <c r="R104" s="95">
        <v>42795</v>
      </c>
      <c r="S104" s="46">
        <v>42839</v>
      </c>
      <c r="T104" s="86">
        <f t="shared" ref="T104" si="44">IF(R104-S104&lt;0,(R104-S104)/30.41667,"–")</f>
        <v>-1.446575183936966</v>
      </c>
      <c r="U104" s="318">
        <f t="shared" si="31"/>
        <v>0</v>
      </c>
      <c r="V104" s="318">
        <f t="shared" si="32"/>
        <v>163035.45000000001</v>
      </c>
      <c r="W104" s="318">
        <f t="shared" si="33"/>
        <v>0</v>
      </c>
      <c r="X104" s="318">
        <f t="shared" si="34"/>
        <v>0</v>
      </c>
      <c r="Y104" s="318">
        <f t="shared" si="35"/>
        <v>0</v>
      </c>
    </row>
    <row r="105" spans="2:25" ht="36" x14ac:dyDescent="0.25">
      <c r="B105" s="92" t="s">
        <v>532</v>
      </c>
      <c r="C105" s="93"/>
      <c r="D105" s="43" t="s">
        <v>533</v>
      </c>
      <c r="E105" s="54" t="s">
        <v>534</v>
      </c>
      <c r="F105" s="55" t="s">
        <v>520</v>
      </c>
      <c r="G105" s="55" t="s">
        <v>390</v>
      </c>
      <c r="H105" s="55" t="s">
        <v>706</v>
      </c>
      <c r="I105" s="55" t="s">
        <v>298</v>
      </c>
      <c r="J105" s="55"/>
      <c r="K105" s="45">
        <f t="shared" si="41"/>
        <v>905836.09</v>
      </c>
      <c r="L105" s="45">
        <v>680455.98</v>
      </c>
      <c r="M105" s="45"/>
      <c r="N105" s="45"/>
      <c r="O105" s="45"/>
      <c r="P105" s="45">
        <v>225380.11</v>
      </c>
      <c r="Q105" s="99"/>
      <c r="R105" s="95">
        <v>42916</v>
      </c>
      <c r="S105" s="46">
        <v>42902</v>
      </c>
      <c r="T105" s="86" t="str">
        <f t="shared" ref="T105" si="45">IF(R105-S105&lt;0,(R105-S105)/30.41667,"–")</f>
        <v>–</v>
      </c>
      <c r="U105" s="318">
        <f t="shared" si="31"/>
        <v>0</v>
      </c>
      <c r="V105" s="318">
        <f t="shared" si="32"/>
        <v>225380.11</v>
      </c>
      <c r="W105" s="318">
        <f t="shared" si="33"/>
        <v>0</v>
      </c>
      <c r="X105" s="318">
        <f t="shared" si="34"/>
        <v>0</v>
      </c>
      <c r="Y105" s="318">
        <f t="shared" si="35"/>
        <v>0</v>
      </c>
    </row>
    <row r="106" spans="2:25" x14ac:dyDescent="0.25">
      <c r="B106" s="105" t="s">
        <v>535</v>
      </c>
      <c r="C106" s="100"/>
      <c r="D106" s="365" t="s">
        <v>536</v>
      </c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7"/>
      <c r="U106" s="321"/>
      <c r="V106" s="321"/>
      <c r="W106" s="321"/>
      <c r="X106" s="321"/>
      <c r="Y106" s="321"/>
    </row>
    <row r="107" spans="2:25" ht="24" x14ac:dyDescent="0.25">
      <c r="B107" s="92" t="s">
        <v>537</v>
      </c>
      <c r="C107" s="93"/>
      <c r="D107" s="43" t="s">
        <v>773</v>
      </c>
      <c r="E107" s="54" t="s">
        <v>294</v>
      </c>
      <c r="F107" s="55" t="s">
        <v>520</v>
      </c>
      <c r="G107" s="55" t="s">
        <v>539</v>
      </c>
      <c r="H107" s="55" t="s">
        <v>540</v>
      </c>
      <c r="I107" s="55" t="s">
        <v>298</v>
      </c>
      <c r="J107" s="55"/>
      <c r="K107" s="45">
        <f t="shared" si="41"/>
        <v>557789.41</v>
      </c>
      <c r="L107" s="45">
        <v>83668.41</v>
      </c>
      <c r="M107" s="64"/>
      <c r="N107" s="45"/>
      <c r="O107" s="45"/>
      <c r="P107" s="45">
        <v>474121</v>
      </c>
      <c r="Q107" s="99"/>
      <c r="R107" s="95">
        <v>42705</v>
      </c>
      <c r="S107" s="46">
        <v>42614</v>
      </c>
      <c r="T107" s="86" t="str">
        <f t="shared" ref="T107:T110" si="46">IF(R107-S107&lt;0,(R107-S107)/30.41667,"–")</f>
        <v>–</v>
      </c>
      <c r="U107" s="318">
        <f t="shared" si="31"/>
        <v>474121</v>
      </c>
      <c r="V107" s="318">
        <f t="shared" si="32"/>
        <v>0</v>
      </c>
      <c r="W107" s="318">
        <f t="shared" si="33"/>
        <v>0</v>
      </c>
      <c r="X107" s="318">
        <f t="shared" si="34"/>
        <v>0</v>
      </c>
      <c r="Y107" s="318">
        <f t="shared" si="35"/>
        <v>0</v>
      </c>
    </row>
    <row r="108" spans="2:25" ht="24" x14ac:dyDescent="0.25">
      <c r="B108" s="92" t="s">
        <v>543</v>
      </c>
      <c r="C108" s="93"/>
      <c r="D108" s="43" t="s">
        <v>544</v>
      </c>
      <c r="E108" s="54" t="s">
        <v>308</v>
      </c>
      <c r="F108" s="55" t="s">
        <v>520</v>
      </c>
      <c r="G108" s="55" t="s">
        <v>545</v>
      </c>
      <c r="H108" s="55" t="s">
        <v>540</v>
      </c>
      <c r="I108" s="55" t="s">
        <v>298</v>
      </c>
      <c r="J108" s="55"/>
      <c r="K108" s="45">
        <f t="shared" si="41"/>
        <v>203981.18</v>
      </c>
      <c r="L108" s="45">
        <v>30597.18</v>
      </c>
      <c r="M108" s="64"/>
      <c r="N108" s="45"/>
      <c r="O108" s="45"/>
      <c r="P108" s="45">
        <v>173384</v>
      </c>
      <c r="Q108" s="99"/>
      <c r="R108" s="95">
        <v>42705</v>
      </c>
      <c r="S108" s="46">
        <v>42615</v>
      </c>
      <c r="T108" s="86" t="str">
        <f t="shared" si="46"/>
        <v>–</v>
      </c>
      <c r="U108" s="318">
        <f t="shared" si="31"/>
        <v>173384</v>
      </c>
      <c r="V108" s="318">
        <f t="shared" si="32"/>
        <v>0</v>
      </c>
      <c r="W108" s="318">
        <f t="shared" si="33"/>
        <v>0</v>
      </c>
      <c r="X108" s="318">
        <f t="shared" si="34"/>
        <v>0</v>
      </c>
      <c r="Y108" s="318">
        <f t="shared" si="35"/>
        <v>0</v>
      </c>
    </row>
    <row r="109" spans="2:25" ht="24" x14ac:dyDescent="0.25">
      <c r="B109" s="92" t="s">
        <v>546</v>
      </c>
      <c r="C109" s="93"/>
      <c r="D109" s="43" t="s">
        <v>547</v>
      </c>
      <c r="E109" s="54" t="s">
        <v>328</v>
      </c>
      <c r="F109" s="55" t="s">
        <v>520</v>
      </c>
      <c r="G109" s="55" t="s">
        <v>356</v>
      </c>
      <c r="H109" s="55" t="s">
        <v>540</v>
      </c>
      <c r="I109" s="55" t="s">
        <v>298</v>
      </c>
      <c r="J109" s="55"/>
      <c r="K109" s="45">
        <f t="shared" si="41"/>
        <v>297848.24</v>
      </c>
      <c r="L109" s="45">
        <v>44677.24</v>
      </c>
      <c r="M109" s="64"/>
      <c r="N109" s="45"/>
      <c r="O109" s="45"/>
      <c r="P109" s="45">
        <v>253171</v>
      </c>
      <c r="Q109" s="99"/>
      <c r="R109" s="95">
        <v>42612</v>
      </c>
      <c r="S109" s="46">
        <v>42607</v>
      </c>
      <c r="T109" s="86" t="str">
        <f t="shared" si="46"/>
        <v>–</v>
      </c>
      <c r="U109" s="318">
        <f t="shared" si="31"/>
        <v>253171</v>
      </c>
      <c r="V109" s="318">
        <f t="shared" si="32"/>
        <v>0</v>
      </c>
      <c r="W109" s="318">
        <f t="shared" si="33"/>
        <v>0</v>
      </c>
      <c r="X109" s="318">
        <f t="shared" si="34"/>
        <v>0</v>
      </c>
      <c r="Y109" s="318">
        <f t="shared" si="35"/>
        <v>0</v>
      </c>
    </row>
    <row r="110" spans="2:25" ht="24" x14ac:dyDescent="0.25">
      <c r="B110" s="92" t="s">
        <v>549</v>
      </c>
      <c r="C110" s="93"/>
      <c r="D110" s="43" t="s">
        <v>550</v>
      </c>
      <c r="E110" s="54" t="s">
        <v>304</v>
      </c>
      <c r="F110" s="55" t="s">
        <v>520</v>
      </c>
      <c r="G110" s="55" t="s">
        <v>390</v>
      </c>
      <c r="H110" s="55" t="s">
        <v>540</v>
      </c>
      <c r="I110" s="55" t="s">
        <v>298</v>
      </c>
      <c r="J110" s="55"/>
      <c r="K110" s="45">
        <f t="shared" si="41"/>
        <v>1467581.1764705882</v>
      </c>
      <c r="L110" s="45">
        <v>220137.17647058822</v>
      </c>
      <c r="M110" s="64"/>
      <c r="N110" s="45"/>
      <c r="O110" s="45"/>
      <c r="P110" s="45">
        <v>1247444</v>
      </c>
      <c r="Q110" s="99"/>
      <c r="R110" s="95">
        <v>42705</v>
      </c>
      <c r="S110" s="46">
        <v>42643</v>
      </c>
      <c r="T110" s="86" t="str">
        <f t="shared" si="46"/>
        <v>–</v>
      </c>
      <c r="U110" s="318">
        <f t="shared" si="31"/>
        <v>1247444</v>
      </c>
      <c r="V110" s="318">
        <f t="shared" si="32"/>
        <v>0</v>
      </c>
      <c r="W110" s="318">
        <f t="shared" si="33"/>
        <v>0</v>
      </c>
      <c r="X110" s="318">
        <f t="shared" si="34"/>
        <v>0</v>
      </c>
      <c r="Y110" s="318">
        <f t="shared" si="35"/>
        <v>0</v>
      </c>
    </row>
    <row r="111" spans="2:25" ht="15" customHeight="1" x14ac:dyDescent="0.25">
      <c r="B111" s="101" t="s">
        <v>669</v>
      </c>
      <c r="C111" s="102"/>
      <c r="D111" s="359" t="s">
        <v>552</v>
      </c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1"/>
      <c r="U111" s="318"/>
      <c r="V111" s="318"/>
      <c r="W111" s="318"/>
      <c r="X111" s="318"/>
      <c r="Y111" s="318"/>
    </row>
    <row r="112" spans="2:25" ht="15" customHeight="1" x14ac:dyDescent="0.25">
      <c r="B112" s="101" t="s">
        <v>670</v>
      </c>
      <c r="C112" s="102"/>
      <c r="D112" s="359" t="s">
        <v>553</v>
      </c>
      <c r="E112" s="360"/>
      <c r="F112" s="360"/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  <c r="Q112" s="360"/>
      <c r="R112" s="360"/>
      <c r="S112" s="360"/>
      <c r="T112" s="361"/>
      <c r="U112" s="318"/>
      <c r="V112" s="318"/>
      <c r="W112" s="318"/>
      <c r="X112" s="318"/>
      <c r="Y112" s="318"/>
    </row>
    <row r="113" spans="2:25" ht="15" customHeight="1" x14ac:dyDescent="0.25">
      <c r="B113" s="105" t="s">
        <v>554</v>
      </c>
      <c r="C113" s="100"/>
      <c r="D113" s="362" t="s">
        <v>555</v>
      </c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4"/>
      <c r="U113" s="321"/>
      <c r="V113" s="322"/>
      <c r="W113" s="322"/>
      <c r="X113" s="322"/>
      <c r="Y113" s="322"/>
    </row>
    <row r="114" spans="2:25" ht="36" x14ac:dyDescent="0.25">
      <c r="B114" s="92" t="s">
        <v>556</v>
      </c>
      <c r="C114" s="93"/>
      <c r="D114" s="43" t="s">
        <v>557</v>
      </c>
      <c r="E114" s="54" t="s">
        <v>308</v>
      </c>
      <c r="F114" s="55" t="s">
        <v>295</v>
      </c>
      <c r="G114" s="55" t="s">
        <v>433</v>
      </c>
      <c r="H114" s="55" t="s">
        <v>558</v>
      </c>
      <c r="I114" s="55" t="s">
        <v>298</v>
      </c>
      <c r="J114" s="55"/>
      <c r="K114" s="45">
        <f t="shared" ref="K114:K115" si="47">SUM(L114:Q114)</f>
        <v>510000</v>
      </c>
      <c r="L114" s="73">
        <v>76500</v>
      </c>
      <c r="M114" s="99"/>
      <c r="N114" s="49"/>
      <c r="O114" s="49"/>
      <c r="P114" s="49">
        <v>433500</v>
      </c>
      <c r="Q114" s="73"/>
      <c r="R114" s="95">
        <v>43220</v>
      </c>
      <c r="S114" s="46">
        <v>43200</v>
      </c>
      <c r="T114" s="86" t="str">
        <f t="shared" ref="T114" si="48">IF(R114-S114&lt;0,(R114-S114)/30.41667,"–")</f>
        <v>–</v>
      </c>
      <c r="U114" s="318">
        <f t="shared" si="31"/>
        <v>0</v>
      </c>
      <c r="V114" s="318">
        <f t="shared" si="32"/>
        <v>0</v>
      </c>
      <c r="W114" s="318">
        <f t="shared" si="33"/>
        <v>433500</v>
      </c>
      <c r="X114" s="318">
        <f t="shared" si="34"/>
        <v>0</v>
      </c>
      <c r="Y114" s="318">
        <f t="shared" si="35"/>
        <v>0</v>
      </c>
    </row>
    <row r="115" spans="2:25" ht="36" x14ac:dyDescent="0.25">
      <c r="B115" s="92" t="s">
        <v>563</v>
      </c>
      <c r="C115" s="93"/>
      <c r="D115" s="43" t="s">
        <v>564</v>
      </c>
      <c r="E115" s="54" t="s">
        <v>308</v>
      </c>
      <c r="F115" s="55" t="s">
        <v>295</v>
      </c>
      <c r="G115" s="55" t="s">
        <v>433</v>
      </c>
      <c r="H115" s="55" t="s">
        <v>558</v>
      </c>
      <c r="I115" s="55" t="s">
        <v>298</v>
      </c>
      <c r="J115" s="55"/>
      <c r="K115" s="45">
        <f t="shared" si="47"/>
        <v>421508</v>
      </c>
      <c r="L115" s="91">
        <v>63227</v>
      </c>
      <c r="M115" s="91"/>
      <c r="N115" s="49"/>
      <c r="O115" s="49"/>
      <c r="P115" s="49">
        <v>358281</v>
      </c>
      <c r="Q115" s="91"/>
      <c r="R115" s="95">
        <v>43617</v>
      </c>
      <c r="S115" s="93"/>
      <c r="T115" s="93"/>
      <c r="U115" s="318">
        <f t="shared" si="31"/>
        <v>0</v>
      </c>
      <c r="V115" s="318">
        <f t="shared" si="32"/>
        <v>0</v>
      </c>
      <c r="W115" s="318">
        <f t="shared" si="33"/>
        <v>0</v>
      </c>
      <c r="X115" s="318">
        <f t="shared" si="34"/>
        <v>0</v>
      </c>
      <c r="Y115" s="318">
        <f t="shared" si="35"/>
        <v>0</v>
      </c>
    </row>
    <row r="116" spans="2:25" ht="15" customHeight="1" x14ac:dyDescent="0.25">
      <c r="B116" s="101" t="s">
        <v>671</v>
      </c>
      <c r="C116" s="102"/>
      <c r="D116" s="359" t="s">
        <v>661</v>
      </c>
      <c r="E116" s="360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0"/>
      <c r="S116" s="360"/>
      <c r="T116" s="361"/>
      <c r="U116" s="318"/>
      <c r="V116" s="318"/>
      <c r="W116" s="318"/>
      <c r="X116" s="318"/>
      <c r="Y116" s="318"/>
    </row>
    <row r="117" spans="2:25" ht="15" customHeight="1" x14ac:dyDescent="0.25">
      <c r="B117" s="101" t="s">
        <v>672</v>
      </c>
      <c r="C117" s="102"/>
      <c r="D117" s="359" t="s">
        <v>567</v>
      </c>
      <c r="E117" s="360"/>
      <c r="F117" s="360"/>
      <c r="G117" s="360"/>
      <c r="H117" s="360"/>
      <c r="I117" s="360"/>
      <c r="J117" s="360"/>
      <c r="K117" s="360"/>
      <c r="L117" s="360"/>
      <c r="M117" s="360"/>
      <c r="N117" s="360"/>
      <c r="O117" s="360"/>
      <c r="P117" s="360"/>
      <c r="Q117" s="360"/>
      <c r="R117" s="360"/>
      <c r="S117" s="360"/>
      <c r="T117" s="361"/>
      <c r="U117" s="318"/>
      <c r="V117" s="318"/>
      <c r="W117" s="318"/>
      <c r="X117" s="318"/>
      <c r="Y117" s="318"/>
    </row>
    <row r="118" spans="2:25" ht="15" customHeight="1" x14ac:dyDescent="0.25">
      <c r="B118" s="101" t="s">
        <v>673</v>
      </c>
      <c r="C118" s="102"/>
      <c r="D118" s="359" t="s">
        <v>568</v>
      </c>
      <c r="E118" s="360"/>
      <c r="F118" s="360"/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1"/>
      <c r="U118" s="318"/>
      <c r="V118" s="318"/>
      <c r="W118" s="318"/>
      <c r="X118" s="318"/>
      <c r="Y118" s="318"/>
    </row>
    <row r="119" spans="2:25" ht="15" customHeight="1" x14ac:dyDescent="0.25">
      <c r="B119" s="105" t="s">
        <v>569</v>
      </c>
      <c r="C119" s="100"/>
      <c r="D119" s="362" t="s">
        <v>570</v>
      </c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4"/>
      <c r="U119" s="322"/>
      <c r="V119" s="322"/>
      <c r="W119" s="322"/>
      <c r="X119" s="322"/>
      <c r="Y119" s="322"/>
    </row>
    <row r="120" spans="2:25" ht="36" x14ac:dyDescent="0.25">
      <c r="B120" s="92" t="s">
        <v>571</v>
      </c>
      <c r="C120" s="93"/>
      <c r="D120" s="43" t="s">
        <v>572</v>
      </c>
      <c r="E120" s="54" t="s">
        <v>573</v>
      </c>
      <c r="F120" s="55" t="s">
        <v>574</v>
      </c>
      <c r="G120" s="55" t="s">
        <v>575</v>
      </c>
      <c r="H120" s="55" t="s">
        <v>576</v>
      </c>
      <c r="I120" s="55" t="s">
        <v>298</v>
      </c>
      <c r="J120" s="57"/>
      <c r="K120" s="45">
        <f t="shared" ref="K120:K129" si="49">SUM(L120:Q120)</f>
        <v>1538175.43</v>
      </c>
      <c r="L120" s="45">
        <v>350264.18</v>
      </c>
      <c r="M120" s="45"/>
      <c r="N120" s="45"/>
      <c r="O120" s="45"/>
      <c r="P120" s="45">
        <v>1187911.25</v>
      </c>
      <c r="Q120" s="99"/>
      <c r="R120" s="95">
        <v>42734</v>
      </c>
      <c r="S120" s="46">
        <v>42719</v>
      </c>
      <c r="T120" s="86" t="str">
        <f t="shared" ref="T120" si="50">IF(R120-S120&lt;0,(R120-S120)/30.41667,"–")</f>
        <v>–</v>
      </c>
      <c r="U120" s="318">
        <f t="shared" si="31"/>
        <v>1187911.25</v>
      </c>
      <c r="V120" s="318">
        <f t="shared" si="32"/>
        <v>0</v>
      </c>
      <c r="W120" s="318">
        <f t="shared" si="33"/>
        <v>0</v>
      </c>
      <c r="X120" s="318">
        <f t="shared" si="34"/>
        <v>0</v>
      </c>
      <c r="Y120" s="318">
        <f t="shared" si="35"/>
        <v>0</v>
      </c>
    </row>
    <row r="121" spans="2:25" ht="48" x14ac:dyDescent="0.25">
      <c r="B121" s="92" t="s">
        <v>584</v>
      </c>
      <c r="C121" s="93"/>
      <c r="D121" s="47" t="s">
        <v>585</v>
      </c>
      <c r="E121" s="53" t="s">
        <v>586</v>
      </c>
      <c r="F121" s="53" t="s">
        <v>574</v>
      </c>
      <c r="G121" s="53" t="s">
        <v>545</v>
      </c>
      <c r="H121" s="53" t="s">
        <v>576</v>
      </c>
      <c r="I121" s="53" t="s">
        <v>298</v>
      </c>
      <c r="J121" s="52"/>
      <c r="K121" s="45">
        <f t="shared" si="49"/>
        <v>617660.84</v>
      </c>
      <c r="L121" s="49">
        <v>262385.8</v>
      </c>
      <c r="M121" s="45"/>
      <c r="N121" s="49"/>
      <c r="O121" s="49"/>
      <c r="P121" s="49">
        <v>355275.04</v>
      </c>
      <c r="Q121" s="99"/>
      <c r="R121" s="95">
        <v>42734</v>
      </c>
      <c r="S121" s="46">
        <v>42726</v>
      </c>
      <c r="T121" s="86" t="str">
        <f t="shared" ref="T121:T123" si="51">IF(R121-S121&lt;0,(R121-S121)/30.41667,"–")</f>
        <v>–</v>
      </c>
      <c r="U121" s="318">
        <f t="shared" si="31"/>
        <v>355275.04</v>
      </c>
      <c r="V121" s="318">
        <f t="shared" si="32"/>
        <v>0</v>
      </c>
      <c r="W121" s="318">
        <f t="shared" si="33"/>
        <v>0</v>
      </c>
      <c r="X121" s="318">
        <f t="shared" si="34"/>
        <v>0</v>
      </c>
      <c r="Y121" s="318">
        <f t="shared" si="35"/>
        <v>0</v>
      </c>
    </row>
    <row r="122" spans="2:25" ht="24" x14ac:dyDescent="0.25">
      <c r="B122" s="92" t="s">
        <v>589</v>
      </c>
      <c r="C122" s="93"/>
      <c r="D122" s="47" t="s">
        <v>590</v>
      </c>
      <c r="E122" s="53" t="s">
        <v>591</v>
      </c>
      <c r="F122" s="53" t="s">
        <v>574</v>
      </c>
      <c r="G122" s="53" t="s">
        <v>426</v>
      </c>
      <c r="H122" s="53" t="s">
        <v>576</v>
      </c>
      <c r="I122" s="53" t="s">
        <v>298</v>
      </c>
      <c r="J122" s="52"/>
      <c r="K122" s="45">
        <f t="shared" si="49"/>
        <v>1902679.07</v>
      </c>
      <c r="L122" s="49">
        <v>743921.52</v>
      </c>
      <c r="M122" s="45"/>
      <c r="N122" s="49"/>
      <c r="O122" s="49"/>
      <c r="P122" s="49">
        <v>1158757.55</v>
      </c>
      <c r="Q122" s="99"/>
      <c r="R122" s="95">
        <v>42734</v>
      </c>
      <c r="S122" s="46">
        <v>42853</v>
      </c>
      <c r="T122" s="86">
        <f t="shared" si="51"/>
        <v>-3.9123283383749765</v>
      </c>
      <c r="U122" s="318">
        <f t="shared" si="31"/>
        <v>0</v>
      </c>
      <c r="V122" s="318">
        <f t="shared" si="32"/>
        <v>1158757.55</v>
      </c>
      <c r="W122" s="318">
        <f t="shared" si="33"/>
        <v>0</v>
      </c>
      <c r="X122" s="318">
        <f t="shared" si="34"/>
        <v>0</v>
      </c>
      <c r="Y122" s="318">
        <f t="shared" si="35"/>
        <v>0</v>
      </c>
    </row>
    <row r="123" spans="2:25" ht="36" x14ac:dyDescent="0.25">
      <c r="B123" s="92" t="s">
        <v>594</v>
      </c>
      <c r="C123" s="93"/>
      <c r="D123" s="47" t="s">
        <v>595</v>
      </c>
      <c r="E123" s="53" t="s">
        <v>596</v>
      </c>
      <c r="F123" s="53" t="s">
        <v>574</v>
      </c>
      <c r="G123" s="53" t="s">
        <v>390</v>
      </c>
      <c r="H123" s="53" t="s">
        <v>576</v>
      </c>
      <c r="I123" s="53" t="s">
        <v>298</v>
      </c>
      <c r="J123" s="52"/>
      <c r="K123" s="45">
        <f t="shared" si="49"/>
        <v>2854494.11</v>
      </c>
      <c r="L123" s="49">
        <v>603558.57999999996</v>
      </c>
      <c r="M123" s="45"/>
      <c r="N123" s="49">
        <v>603558.57999999996</v>
      </c>
      <c r="O123" s="49"/>
      <c r="P123" s="49">
        <v>1647376.95</v>
      </c>
      <c r="Q123" s="99"/>
      <c r="R123" s="95">
        <v>42734</v>
      </c>
      <c r="S123" s="46">
        <v>42877</v>
      </c>
      <c r="T123" s="86">
        <f t="shared" si="51"/>
        <v>-4.7013693477951399</v>
      </c>
      <c r="U123" s="318">
        <f t="shared" si="31"/>
        <v>0</v>
      </c>
      <c r="V123" s="318">
        <f t="shared" si="32"/>
        <v>1647376.95</v>
      </c>
      <c r="W123" s="318">
        <f t="shared" si="33"/>
        <v>0</v>
      </c>
      <c r="X123" s="318">
        <f t="shared" si="34"/>
        <v>0</v>
      </c>
      <c r="Y123" s="318">
        <f t="shared" si="35"/>
        <v>0</v>
      </c>
    </row>
    <row r="124" spans="2:25" ht="36" x14ac:dyDescent="0.25">
      <c r="B124" s="92" t="s">
        <v>598</v>
      </c>
      <c r="C124" s="93"/>
      <c r="D124" s="47" t="s">
        <v>599</v>
      </c>
      <c r="E124" s="53" t="s">
        <v>573</v>
      </c>
      <c r="F124" s="53" t="s">
        <v>574</v>
      </c>
      <c r="G124" s="53" t="s">
        <v>575</v>
      </c>
      <c r="H124" s="53" t="s">
        <v>576</v>
      </c>
      <c r="I124" s="53" t="s">
        <v>298</v>
      </c>
      <c r="J124" s="48"/>
      <c r="K124" s="45">
        <f t="shared" si="49"/>
        <v>444870</v>
      </c>
      <c r="L124" s="49">
        <v>320131.20000000001</v>
      </c>
      <c r="M124" s="45"/>
      <c r="N124" s="49"/>
      <c r="O124" s="49"/>
      <c r="P124" s="49">
        <v>124738.8</v>
      </c>
      <c r="Q124" s="94"/>
      <c r="R124" s="95">
        <v>43281</v>
      </c>
      <c r="S124" s="46">
        <v>43342</v>
      </c>
      <c r="T124" s="86">
        <v>-2</v>
      </c>
      <c r="U124" s="318">
        <f t="shared" si="31"/>
        <v>0</v>
      </c>
      <c r="V124" s="318">
        <f t="shared" si="32"/>
        <v>0</v>
      </c>
      <c r="W124" s="318">
        <f t="shared" si="33"/>
        <v>124738.8</v>
      </c>
      <c r="X124" s="318">
        <f t="shared" si="34"/>
        <v>0</v>
      </c>
      <c r="Y124" s="318">
        <f t="shared" si="35"/>
        <v>0</v>
      </c>
    </row>
    <row r="125" spans="2:25" ht="24" x14ac:dyDescent="0.25">
      <c r="B125" s="92" t="s">
        <v>600</v>
      </c>
      <c r="C125" s="93"/>
      <c r="D125" s="47" t="s">
        <v>601</v>
      </c>
      <c r="E125" s="53" t="s">
        <v>586</v>
      </c>
      <c r="F125" s="53" t="s">
        <v>574</v>
      </c>
      <c r="G125" s="53" t="s">
        <v>545</v>
      </c>
      <c r="H125" s="53" t="s">
        <v>576</v>
      </c>
      <c r="I125" s="53" t="s">
        <v>298</v>
      </c>
      <c r="J125" s="48"/>
      <c r="K125" s="45">
        <f t="shared" si="49"/>
        <v>136161.48000000001</v>
      </c>
      <c r="L125" s="49">
        <v>29723.21</v>
      </c>
      <c r="M125" s="45"/>
      <c r="N125" s="49"/>
      <c r="O125" s="49"/>
      <c r="P125" s="49">
        <v>106438.27</v>
      </c>
      <c r="Q125" s="94"/>
      <c r="R125" s="95">
        <v>43281</v>
      </c>
      <c r="S125" s="46">
        <v>43332</v>
      </c>
      <c r="T125" s="86">
        <v>-2</v>
      </c>
      <c r="U125" s="318">
        <f t="shared" si="31"/>
        <v>0</v>
      </c>
      <c r="V125" s="318">
        <f t="shared" si="32"/>
        <v>0</v>
      </c>
      <c r="W125" s="318">
        <f t="shared" si="33"/>
        <v>106438.27</v>
      </c>
      <c r="X125" s="318">
        <f t="shared" si="34"/>
        <v>0</v>
      </c>
      <c r="Y125" s="318">
        <f t="shared" si="35"/>
        <v>0</v>
      </c>
    </row>
    <row r="126" spans="2:25" ht="24" x14ac:dyDescent="0.25">
      <c r="B126" s="92" t="s">
        <v>602</v>
      </c>
      <c r="C126" s="93"/>
      <c r="D126" s="47" t="s">
        <v>603</v>
      </c>
      <c r="E126" s="53" t="s">
        <v>591</v>
      </c>
      <c r="F126" s="53" t="s">
        <v>574</v>
      </c>
      <c r="G126" s="53" t="s">
        <v>426</v>
      </c>
      <c r="H126" s="53" t="s">
        <v>576</v>
      </c>
      <c r="I126" s="53" t="s">
        <v>298</v>
      </c>
      <c r="J126" s="48"/>
      <c r="K126" s="45">
        <f t="shared" si="49"/>
        <v>548947.86</v>
      </c>
      <c r="L126" s="49">
        <v>274473.93</v>
      </c>
      <c r="M126" s="45"/>
      <c r="N126" s="49"/>
      <c r="O126" s="49"/>
      <c r="P126" s="49">
        <v>274473.93</v>
      </c>
      <c r="Q126" s="94"/>
      <c r="R126" s="95">
        <v>43434</v>
      </c>
      <c r="S126" s="46"/>
      <c r="T126" s="86"/>
      <c r="U126" s="318">
        <f t="shared" si="31"/>
        <v>0</v>
      </c>
      <c r="V126" s="318">
        <f t="shared" si="32"/>
        <v>0</v>
      </c>
      <c r="W126" s="318">
        <f t="shared" si="33"/>
        <v>0</v>
      </c>
      <c r="X126" s="318">
        <f t="shared" si="34"/>
        <v>0</v>
      </c>
      <c r="Y126" s="318">
        <f t="shared" si="35"/>
        <v>0</v>
      </c>
    </row>
    <row r="127" spans="2:25" ht="36" x14ac:dyDescent="0.25">
      <c r="B127" s="92" t="s">
        <v>604</v>
      </c>
      <c r="C127" s="93"/>
      <c r="D127" s="47" t="s">
        <v>605</v>
      </c>
      <c r="E127" s="53" t="s">
        <v>596</v>
      </c>
      <c r="F127" s="53" t="s">
        <v>574</v>
      </c>
      <c r="G127" s="53" t="s">
        <v>320</v>
      </c>
      <c r="H127" s="53" t="s">
        <v>576</v>
      </c>
      <c r="I127" s="53" t="s">
        <v>298</v>
      </c>
      <c r="J127" s="48"/>
      <c r="K127" s="45">
        <f t="shared" si="49"/>
        <v>646255.83000000007</v>
      </c>
      <c r="L127" s="91">
        <v>150423.45000000001</v>
      </c>
      <c r="M127" s="91"/>
      <c r="N127" s="91">
        <v>150423.45000000001</v>
      </c>
      <c r="O127" s="91"/>
      <c r="P127" s="91">
        <v>345408.93</v>
      </c>
      <c r="Q127" s="94"/>
      <c r="R127" s="95">
        <v>43434</v>
      </c>
      <c r="S127" s="46"/>
      <c r="T127" s="86"/>
      <c r="U127" s="318">
        <f t="shared" si="31"/>
        <v>0</v>
      </c>
      <c r="V127" s="318">
        <f t="shared" si="32"/>
        <v>0</v>
      </c>
      <c r="W127" s="318">
        <f t="shared" si="33"/>
        <v>0</v>
      </c>
      <c r="X127" s="318">
        <f t="shared" si="34"/>
        <v>0</v>
      </c>
      <c r="Y127" s="318">
        <f t="shared" si="35"/>
        <v>0</v>
      </c>
    </row>
    <row r="128" spans="2:25" ht="15" customHeight="1" x14ac:dyDescent="0.25">
      <c r="B128" s="105" t="s">
        <v>606</v>
      </c>
      <c r="C128" s="100"/>
      <c r="D128" s="362" t="s">
        <v>607</v>
      </c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  <c r="T128" s="364"/>
      <c r="U128" s="322"/>
      <c r="V128" s="322"/>
      <c r="W128" s="322"/>
      <c r="X128" s="322"/>
      <c r="Y128" s="322"/>
    </row>
    <row r="129" spans="2:25" ht="24" x14ac:dyDescent="0.25">
      <c r="B129" s="92" t="s">
        <v>608</v>
      </c>
      <c r="C129" s="93"/>
      <c r="D129" s="43" t="s">
        <v>609</v>
      </c>
      <c r="E129" s="54" t="s">
        <v>596</v>
      </c>
      <c r="F129" s="55" t="s">
        <v>574</v>
      </c>
      <c r="G129" s="55" t="s">
        <v>390</v>
      </c>
      <c r="H129" s="55" t="s">
        <v>610</v>
      </c>
      <c r="I129" s="55" t="s">
        <v>298</v>
      </c>
      <c r="J129" s="57"/>
      <c r="K129" s="45">
        <f t="shared" si="49"/>
        <v>1681106.52</v>
      </c>
      <c r="L129" s="45">
        <v>252165.98</v>
      </c>
      <c r="M129" s="45"/>
      <c r="N129" s="45"/>
      <c r="O129" s="45"/>
      <c r="P129" s="45">
        <v>1428940.54</v>
      </c>
      <c r="Q129" s="99"/>
      <c r="R129" s="95">
        <v>42767</v>
      </c>
      <c r="S129" s="46">
        <v>42810</v>
      </c>
      <c r="T129" s="86">
        <f t="shared" ref="T129" si="52">IF(R129-S129&lt;0,(R129-S129)/30.41667,"–")</f>
        <v>-1.4136984752111259</v>
      </c>
      <c r="U129" s="318">
        <f t="shared" si="31"/>
        <v>0</v>
      </c>
      <c r="V129" s="318">
        <f t="shared" si="32"/>
        <v>1428940.54</v>
      </c>
      <c r="W129" s="318">
        <f t="shared" si="33"/>
        <v>0</v>
      </c>
      <c r="X129" s="318">
        <f t="shared" si="34"/>
        <v>0</v>
      </c>
      <c r="Y129" s="318">
        <f t="shared" si="35"/>
        <v>0</v>
      </c>
    </row>
    <row r="130" spans="2:25" ht="15" customHeight="1" x14ac:dyDescent="0.25">
      <c r="B130" s="101" t="s">
        <v>674</v>
      </c>
      <c r="C130" s="102"/>
      <c r="D130" s="359" t="s">
        <v>615</v>
      </c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1"/>
      <c r="U130" s="318"/>
      <c r="V130" s="318"/>
      <c r="W130" s="318"/>
      <c r="X130" s="318"/>
      <c r="Y130" s="318"/>
    </row>
    <row r="131" spans="2:25" ht="15" customHeight="1" x14ac:dyDescent="0.25">
      <c r="B131" s="105" t="s">
        <v>616</v>
      </c>
      <c r="C131" s="100"/>
      <c r="D131" s="362" t="s">
        <v>617</v>
      </c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  <c r="R131" s="363"/>
      <c r="S131" s="363"/>
      <c r="T131" s="364"/>
      <c r="U131" s="322"/>
      <c r="V131" s="322"/>
      <c r="W131" s="322"/>
      <c r="X131" s="322"/>
      <c r="Y131" s="322"/>
    </row>
    <row r="132" spans="2:25" ht="24" x14ac:dyDescent="0.25">
      <c r="B132" s="92" t="s">
        <v>618</v>
      </c>
      <c r="C132" s="93"/>
      <c r="D132" s="43" t="s">
        <v>619</v>
      </c>
      <c r="E132" s="54" t="s">
        <v>620</v>
      </c>
      <c r="F132" s="55" t="s">
        <v>574</v>
      </c>
      <c r="G132" s="55" t="s">
        <v>433</v>
      </c>
      <c r="H132" s="55" t="s">
        <v>621</v>
      </c>
      <c r="I132" s="55" t="s">
        <v>298</v>
      </c>
      <c r="J132" s="57"/>
      <c r="K132" s="45">
        <f t="shared" ref="K132" si="53">SUM(L132:Q132)</f>
        <v>2800256.02</v>
      </c>
      <c r="L132" s="45"/>
      <c r="M132" s="45"/>
      <c r="N132" s="45"/>
      <c r="O132" s="45">
        <v>420038.40000000002</v>
      </c>
      <c r="P132" s="45">
        <v>2380217.62</v>
      </c>
      <c r="Q132" s="99"/>
      <c r="R132" s="95">
        <v>42916</v>
      </c>
      <c r="S132" s="46">
        <v>42999</v>
      </c>
      <c r="T132" s="86">
        <f t="shared" ref="T132" si="54">IF(R132-S132&lt;0,(R132-S132)/30.41667,"–")</f>
        <v>-2.7287668242447314</v>
      </c>
      <c r="U132" s="318">
        <f t="shared" si="31"/>
        <v>0</v>
      </c>
      <c r="V132" s="318">
        <f t="shared" si="32"/>
        <v>2380217.62</v>
      </c>
      <c r="W132" s="318">
        <f t="shared" si="33"/>
        <v>0</v>
      </c>
      <c r="X132" s="318">
        <f t="shared" si="34"/>
        <v>0</v>
      </c>
      <c r="Y132" s="318">
        <f t="shared" si="35"/>
        <v>0</v>
      </c>
    </row>
    <row r="133" spans="2:25" ht="15" customHeight="1" x14ac:dyDescent="0.25">
      <c r="B133" s="101" t="s">
        <v>675</v>
      </c>
      <c r="C133" s="102"/>
      <c r="D133" s="359" t="s">
        <v>624</v>
      </c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1"/>
      <c r="U133" s="318"/>
      <c r="V133" s="318"/>
      <c r="W133" s="318"/>
      <c r="X133" s="318"/>
      <c r="Y133" s="318"/>
    </row>
    <row r="134" spans="2:25" ht="15" customHeight="1" x14ac:dyDescent="0.25">
      <c r="B134" s="101" t="s">
        <v>676</v>
      </c>
      <c r="C134" s="102"/>
      <c r="D134" s="359" t="s">
        <v>625</v>
      </c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1"/>
      <c r="U134" s="318"/>
      <c r="V134" s="318"/>
      <c r="W134" s="318"/>
      <c r="X134" s="318"/>
      <c r="Y134" s="318"/>
    </row>
    <row r="135" spans="2:25" x14ac:dyDescent="0.25">
      <c r="B135" s="105" t="s">
        <v>626</v>
      </c>
      <c r="C135" s="100"/>
      <c r="D135" s="362" t="s">
        <v>627</v>
      </c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3"/>
      <c r="S135" s="363"/>
      <c r="T135" s="364"/>
      <c r="U135" s="322"/>
      <c r="V135" s="322"/>
      <c r="W135" s="322"/>
      <c r="X135" s="322"/>
      <c r="Y135" s="322"/>
    </row>
    <row r="136" spans="2:25" ht="24" x14ac:dyDescent="0.25">
      <c r="B136" s="107" t="s">
        <v>628</v>
      </c>
      <c r="C136" s="93"/>
      <c r="D136" s="47" t="s">
        <v>629</v>
      </c>
      <c r="E136" s="53" t="s">
        <v>308</v>
      </c>
      <c r="F136" s="53" t="s">
        <v>574</v>
      </c>
      <c r="G136" s="53" t="s">
        <v>545</v>
      </c>
      <c r="H136" s="53" t="s">
        <v>630</v>
      </c>
      <c r="I136" s="53" t="s">
        <v>298</v>
      </c>
      <c r="J136" s="53"/>
      <c r="K136" s="45">
        <f t="shared" ref="K136:K142" si="55">SUM(L136:Q136)</f>
        <v>363047.26</v>
      </c>
      <c r="L136" s="49">
        <v>54457.09</v>
      </c>
      <c r="M136" s="49"/>
      <c r="N136" s="49"/>
      <c r="O136" s="49"/>
      <c r="P136" s="49">
        <v>308590.17</v>
      </c>
      <c r="Q136" s="216"/>
      <c r="R136" s="155">
        <v>42887</v>
      </c>
      <c r="S136" s="46">
        <v>42878</v>
      </c>
      <c r="T136" s="86" t="str">
        <f t="shared" ref="T136" si="56">IF(R136-S136&lt;0,(R136-S136)/30.41667,"–")</f>
        <v>–</v>
      </c>
      <c r="U136" s="318">
        <f t="shared" si="31"/>
        <v>0</v>
      </c>
      <c r="V136" s="318">
        <f t="shared" si="32"/>
        <v>308590.17</v>
      </c>
      <c r="W136" s="318">
        <f t="shared" si="33"/>
        <v>0</v>
      </c>
      <c r="X136" s="318">
        <f t="shared" si="34"/>
        <v>0</v>
      </c>
      <c r="Y136" s="318">
        <f t="shared" si="35"/>
        <v>0</v>
      </c>
    </row>
    <row r="137" spans="2:25" ht="24" x14ac:dyDescent="0.25">
      <c r="B137" s="107" t="s">
        <v>639</v>
      </c>
      <c r="C137" s="93"/>
      <c r="D137" s="47" t="s">
        <v>640</v>
      </c>
      <c r="E137" s="53" t="s">
        <v>328</v>
      </c>
      <c r="F137" s="53" t="s">
        <v>574</v>
      </c>
      <c r="G137" s="53" t="s">
        <v>426</v>
      </c>
      <c r="H137" s="53" t="s">
        <v>630</v>
      </c>
      <c r="I137" s="53" t="s">
        <v>298</v>
      </c>
      <c r="J137" s="53"/>
      <c r="K137" s="45">
        <f t="shared" si="55"/>
        <v>53554.71</v>
      </c>
      <c r="L137" s="49">
        <v>8033.21</v>
      </c>
      <c r="M137" s="49"/>
      <c r="N137" s="49"/>
      <c r="O137" s="49"/>
      <c r="P137" s="49">
        <v>45521.5</v>
      </c>
      <c r="Q137" s="216"/>
      <c r="R137" s="155">
        <v>42795</v>
      </c>
      <c r="S137" s="46">
        <v>42961</v>
      </c>
      <c r="T137" s="86">
        <f t="shared" ref="T137:T141" si="57">IF(R137-S137&lt;0,(R137-S137)/30.41667,"–")</f>
        <v>-5.4575336484894628</v>
      </c>
      <c r="U137" s="318">
        <f t="shared" si="31"/>
        <v>0</v>
      </c>
      <c r="V137" s="318">
        <f t="shared" si="32"/>
        <v>45521.5</v>
      </c>
      <c r="W137" s="318">
        <f t="shared" si="33"/>
        <v>0</v>
      </c>
      <c r="X137" s="318">
        <f t="shared" si="34"/>
        <v>0</v>
      </c>
      <c r="Y137" s="318">
        <f t="shared" si="35"/>
        <v>0</v>
      </c>
    </row>
    <row r="138" spans="2:25" ht="24" x14ac:dyDescent="0.25">
      <c r="B138" s="107" t="s">
        <v>641</v>
      </c>
      <c r="C138" s="93"/>
      <c r="D138" s="47" t="s">
        <v>642</v>
      </c>
      <c r="E138" s="53" t="s">
        <v>328</v>
      </c>
      <c r="F138" s="53" t="s">
        <v>574</v>
      </c>
      <c r="G138" s="53" t="s">
        <v>426</v>
      </c>
      <c r="H138" s="53" t="s">
        <v>630</v>
      </c>
      <c r="I138" s="53" t="s">
        <v>298</v>
      </c>
      <c r="J138" s="53"/>
      <c r="K138" s="45">
        <f t="shared" si="55"/>
        <v>920732.19</v>
      </c>
      <c r="L138" s="49">
        <v>138109.82</v>
      </c>
      <c r="M138" s="49"/>
      <c r="N138" s="49"/>
      <c r="O138" s="49"/>
      <c r="P138" s="49">
        <v>782622.37</v>
      </c>
      <c r="Q138" s="216"/>
      <c r="R138" s="155">
        <v>43525</v>
      </c>
      <c r="S138" s="46"/>
      <c r="T138" s="86"/>
      <c r="U138" s="318">
        <f t="shared" si="31"/>
        <v>0</v>
      </c>
      <c r="V138" s="318">
        <f t="shared" si="32"/>
        <v>0</v>
      </c>
      <c r="W138" s="318">
        <f t="shared" si="33"/>
        <v>0</v>
      </c>
      <c r="X138" s="318">
        <f t="shared" si="34"/>
        <v>0</v>
      </c>
      <c r="Y138" s="318">
        <f t="shared" si="35"/>
        <v>0</v>
      </c>
    </row>
    <row r="139" spans="2:25" ht="24" x14ac:dyDescent="0.25">
      <c r="B139" s="107" t="s">
        <v>645</v>
      </c>
      <c r="C139" s="93"/>
      <c r="D139" s="47" t="s">
        <v>646</v>
      </c>
      <c r="E139" s="53" t="s">
        <v>328</v>
      </c>
      <c r="F139" s="53" t="s">
        <v>574</v>
      </c>
      <c r="G139" s="53" t="s">
        <v>426</v>
      </c>
      <c r="H139" s="53" t="s">
        <v>630</v>
      </c>
      <c r="I139" s="53" t="s">
        <v>298</v>
      </c>
      <c r="J139" s="53" t="s">
        <v>647</v>
      </c>
      <c r="K139" s="45">
        <f t="shared" si="55"/>
        <v>296511.84999999998</v>
      </c>
      <c r="L139" s="49">
        <v>44476.78</v>
      </c>
      <c r="M139" s="49"/>
      <c r="N139" s="49"/>
      <c r="O139" s="49"/>
      <c r="P139" s="49">
        <v>252035.07</v>
      </c>
      <c r="Q139" s="216"/>
      <c r="R139" s="155"/>
      <c r="S139" s="46"/>
      <c r="T139" s="86"/>
      <c r="U139" s="318">
        <f t="shared" si="31"/>
        <v>0</v>
      </c>
      <c r="V139" s="318">
        <f t="shared" si="32"/>
        <v>0</v>
      </c>
      <c r="W139" s="318">
        <f t="shared" si="33"/>
        <v>0</v>
      </c>
      <c r="X139" s="318">
        <f t="shared" si="34"/>
        <v>0</v>
      </c>
      <c r="Y139" s="318">
        <f t="shared" si="35"/>
        <v>0</v>
      </c>
    </row>
    <row r="140" spans="2:25" ht="24" x14ac:dyDescent="0.25">
      <c r="B140" s="107" t="s">
        <v>648</v>
      </c>
      <c r="C140" s="93"/>
      <c r="D140" s="47" t="s">
        <v>649</v>
      </c>
      <c r="E140" s="53" t="s">
        <v>304</v>
      </c>
      <c r="F140" s="53" t="s">
        <v>574</v>
      </c>
      <c r="G140" s="53" t="s">
        <v>390</v>
      </c>
      <c r="H140" s="53" t="s">
        <v>630</v>
      </c>
      <c r="I140" s="53" t="s">
        <v>298</v>
      </c>
      <c r="J140" s="53"/>
      <c r="K140" s="45">
        <f t="shared" si="55"/>
        <v>351002.55</v>
      </c>
      <c r="L140" s="49">
        <v>52650.39</v>
      </c>
      <c r="M140" s="49"/>
      <c r="N140" s="49"/>
      <c r="O140" s="49"/>
      <c r="P140" s="49">
        <v>298352.15999999997</v>
      </c>
      <c r="Q140" s="216"/>
      <c r="R140" s="155">
        <v>42795</v>
      </c>
      <c r="S140" s="46">
        <v>42835</v>
      </c>
      <c r="T140" s="86">
        <f t="shared" si="57"/>
        <v>-1.3150683490336057</v>
      </c>
      <c r="U140" s="318">
        <f t="shared" si="31"/>
        <v>0</v>
      </c>
      <c r="V140" s="318">
        <f t="shared" si="32"/>
        <v>298352.15999999997</v>
      </c>
      <c r="W140" s="318">
        <f t="shared" si="33"/>
        <v>0</v>
      </c>
      <c r="X140" s="318">
        <f t="shared" si="34"/>
        <v>0</v>
      </c>
      <c r="Y140" s="318">
        <f t="shared" si="35"/>
        <v>0</v>
      </c>
    </row>
    <row r="141" spans="2:25" x14ac:dyDescent="0.25">
      <c r="B141" s="107" t="s">
        <v>651</v>
      </c>
      <c r="C141" s="93"/>
      <c r="D141" s="47" t="s">
        <v>652</v>
      </c>
      <c r="E141" s="53" t="s">
        <v>294</v>
      </c>
      <c r="F141" s="53" t="s">
        <v>574</v>
      </c>
      <c r="G141" s="53" t="s">
        <v>575</v>
      </c>
      <c r="H141" s="53" t="s">
        <v>630</v>
      </c>
      <c r="I141" s="53" t="s">
        <v>298</v>
      </c>
      <c r="J141" s="53"/>
      <c r="K141" s="45">
        <f t="shared" si="55"/>
        <v>419348</v>
      </c>
      <c r="L141" s="49">
        <v>62902.2</v>
      </c>
      <c r="M141" s="49"/>
      <c r="N141" s="49"/>
      <c r="O141" s="49"/>
      <c r="P141" s="49">
        <v>356445.8</v>
      </c>
      <c r="Q141" s="216"/>
      <c r="R141" s="155">
        <v>42824</v>
      </c>
      <c r="S141" s="46">
        <v>42845</v>
      </c>
      <c r="T141" s="86">
        <f t="shared" si="57"/>
        <v>-0.69041088324264288</v>
      </c>
      <c r="U141" s="318">
        <f t="shared" si="31"/>
        <v>0</v>
      </c>
      <c r="V141" s="318">
        <f t="shared" si="32"/>
        <v>356445.8</v>
      </c>
      <c r="W141" s="318">
        <f t="shared" si="33"/>
        <v>0</v>
      </c>
      <c r="X141" s="318">
        <f t="shared" si="34"/>
        <v>0</v>
      </c>
      <c r="Y141" s="318">
        <f t="shared" si="35"/>
        <v>0</v>
      </c>
    </row>
    <row r="142" spans="2:25" ht="48" x14ac:dyDescent="0.25">
      <c r="B142" s="107" t="s">
        <v>653</v>
      </c>
      <c r="C142" s="93"/>
      <c r="D142" s="43" t="s">
        <v>654</v>
      </c>
      <c r="E142" s="54" t="s">
        <v>294</v>
      </c>
      <c r="F142" s="55" t="s">
        <v>574</v>
      </c>
      <c r="G142" s="55" t="s">
        <v>575</v>
      </c>
      <c r="H142" s="55" t="s">
        <v>630</v>
      </c>
      <c r="I142" s="55" t="s">
        <v>298</v>
      </c>
      <c r="J142" s="55"/>
      <c r="K142" s="45">
        <f t="shared" si="55"/>
        <v>129411.77</v>
      </c>
      <c r="L142" s="45">
        <v>19411.77</v>
      </c>
      <c r="M142" s="45"/>
      <c r="N142" s="45"/>
      <c r="O142" s="45"/>
      <c r="P142" s="49">
        <v>110000</v>
      </c>
      <c r="Q142" s="216"/>
      <c r="R142" s="155">
        <v>43525</v>
      </c>
      <c r="S142" s="46"/>
      <c r="T142" s="86"/>
      <c r="U142" s="318">
        <f t="shared" si="31"/>
        <v>0</v>
      </c>
      <c r="V142" s="318">
        <f t="shared" si="32"/>
        <v>0</v>
      </c>
      <c r="W142" s="318">
        <f t="shared" si="33"/>
        <v>0</v>
      </c>
      <c r="X142" s="318">
        <f t="shared" si="34"/>
        <v>0</v>
      </c>
      <c r="Y142" s="318">
        <f t="shared" si="35"/>
        <v>0</v>
      </c>
    </row>
    <row r="143" spans="2:25" x14ac:dyDescent="0.25">
      <c r="B143" s="230" t="s">
        <v>23</v>
      </c>
      <c r="C143" s="231"/>
      <c r="D143" s="231"/>
      <c r="E143" s="231"/>
      <c r="F143" s="231"/>
      <c r="G143" s="231"/>
      <c r="H143" s="231"/>
      <c r="I143" s="231"/>
      <c r="J143" s="232"/>
      <c r="K143" s="217">
        <f t="shared" ref="K143:P143" si="58">SUM(K12:K142)-K139</f>
        <v>41999733.471764706</v>
      </c>
      <c r="L143" s="217">
        <f t="shared" si="58"/>
        <v>7601671.2241176479</v>
      </c>
      <c r="M143" s="217">
        <f t="shared" si="58"/>
        <v>602344.81764705898</v>
      </c>
      <c r="N143" s="217">
        <f t="shared" si="58"/>
        <v>780124.34999999986</v>
      </c>
      <c r="O143" s="217">
        <f t="shared" si="58"/>
        <v>840163.01</v>
      </c>
      <c r="P143" s="217">
        <f t="shared" si="58"/>
        <v>28854068.070000004</v>
      </c>
      <c r="Q143" s="99"/>
      <c r="R143" s="99"/>
      <c r="S143" s="93"/>
      <c r="T143" s="93"/>
      <c r="U143" s="324">
        <f>SUM(U12:U142)</f>
        <v>4560206.29</v>
      </c>
      <c r="V143" s="324">
        <f>SUM(V12:V142)</f>
        <v>14887246.430000002</v>
      </c>
      <c r="W143" s="324">
        <f>SUM(W12:W142)</f>
        <v>5403981.1199999992</v>
      </c>
      <c r="X143" s="324">
        <f>SUM(X12:X142)</f>
        <v>0</v>
      </c>
      <c r="Y143" s="324">
        <f>SUM(Y12:Y142)</f>
        <v>0</v>
      </c>
    </row>
    <row r="144" spans="2:25" ht="15.75" x14ac:dyDescent="0.25">
      <c r="B144" s="218" t="s">
        <v>41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317"/>
      <c r="V144" s="317"/>
      <c r="W144" s="317"/>
      <c r="X144" s="317"/>
      <c r="Y144" s="317"/>
    </row>
    <row r="145" spans="2:23" ht="15.75" x14ac:dyDescent="0.25">
      <c r="B145" s="36"/>
    </row>
    <row r="146" spans="2:23" ht="15.75" x14ac:dyDescent="0.25">
      <c r="B146" s="36"/>
    </row>
    <row r="147" spans="2:23" ht="15.75" customHeight="1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325"/>
      <c r="V147" s="325"/>
      <c r="W147" s="325"/>
    </row>
  </sheetData>
  <mergeCells count="54">
    <mergeCell ref="D131:T131"/>
    <mergeCell ref="D133:T133"/>
    <mergeCell ref="D134:T134"/>
    <mergeCell ref="D135:T135"/>
    <mergeCell ref="D117:T117"/>
    <mergeCell ref="D118:T118"/>
    <mergeCell ref="D119:T119"/>
    <mergeCell ref="D128:T128"/>
    <mergeCell ref="D130:T130"/>
    <mergeCell ref="D111:T111"/>
    <mergeCell ref="D82:T82"/>
    <mergeCell ref="D100:T100"/>
    <mergeCell ref="D112:T112"/>
    <mergeCell ref="D116:T116"/>
    <mergeCell ref="D113:T113"/>
    <mergeCell ref="D101:T101"/>
    <mergeCell ref="D106:T106"/>
    <mergeCell ref="B6:J6"/>
    <mergeCell ref="K6:Q6"/>
    <mergeCell ref="R6:T6"/>
    <mergeCell ref="D46:T46"/>
    <mergeCell ref="D21:T21"/>
    <mergeCell ref="D24:T24"/>
    <mergeCell ref="D25:T25"/>
    <mergeCell ref="D26:T26"/>
    <mergeCell ref="D32:T32"/>
    <mergeCell ref="D35:T35"/>
    <mergeCell ref="D40:T40"/>
    <mergeCell ref="D42:T42"/>
    <mergeCell ref="D43:T43"/>
    <mergeCell ref="D8:T8"/>
    <mergeCell ref="D9:T9"/>
    <mergeCell ref="D10:T10"/>
    <mergeCell ref="U6:Y6"/>
    <mergeCell ref="R1:T1"/>
    <mergeCell ref="R2:T2"/>
    <mergeCell ref="R3:T3"/>
    <mergeCell ref="S5:T5"/>
    <mergeCell ref="D11:T11"/>
    <mergeCell ref="D14:T14"/>
    <mergeCell ref="D17:T17"/>
    <mergeCell ref="D19:T19"/>
    <mergeCell ref="D22:J22"/>
    <mergeCell ref="D51:T51"/>
    <mergeCell ref="D52:T52"/>
    <mergeCell ref="D54:T54"/>
    <mergeCell ref="D55:T55"/>
    <mergeCell ref="D56:T56"/>
    <mergeCell ref="D77:T77"/>
    <mergeCell ref="D57:T57"/>
    <mergeCell ref="D62:T62"/>
    <mergeCell ref="D67:T67"/>
    <mergeCell ref="D71:T71"/>
    <mergeCell ref="D72:T72"/>
  </mergeCells>
  <pageMargins left="0.11811023622047245" right="0.11811023622047245" top="0.15748031496062992" bottom="0.15748031496062992" header="0" footer="0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G148"/>
  <sheetViews>
    <sheetView topLeftCell="D134" zoomScale="91" zoomScaleNormal="91" workbookViewId="0">
      <selection activeCell="S108" sqref="S108"/>
    </sheetView>
  </sheetViews>
  <sheetFormatPr defaultRowHeight="15" x14ac:dyDescent="0.25"/>
  <cols>
    <col min="1" max="1" width="4.28515625" style="6" customWidth="1"/>
    <col min="2" max="2" width="9.140625" style="6"/>
    <col min="3" max="3" width="17.42578125" style="6" customWidth="1"/>
    <col min="4" max="4" width="31.5703125" style="6" customWidth="1"/>
    <col min="5" max="5" width="15" style="6" customWidth="1"/>
    <col min="6" max="6" width="9.5703125" style="6" customWidth="1"/>
    <col min="7" max="7" width="9.42578125" style="6" customWidth="1"/>
    <col min="8" max="8" width="18.140625" style="6" customWidth="1"/>
    <col min="9" max="9" width="6.5703125" style="6" customWidth="1"/>
    <col min="10" max="10" width="7.85546875" style="6" customWidth="1"/>
    <col min="11" max="11" width="12.140625" style="6" customWidth="1"/>
    <col min="12" max="12" width="12.28515625" style="6" customWidth="1"/>
    <col min="13" max="13" width="9.5703125" style="6" customWidth="1"/>
    <col min="14" max="15" width="10" style="6" customWidth="1"/>
    <col min="16" max="16" width="12.5703125" style="6" customWidth="1"/>
    <col min="17" max="17" width="11.42578125" style="6" customWidth="1"/>
    <col min="18" max="19" width="9.28515625" style="6" customWidth="1"/>
    <col min="20" max="20" width="9.5703125" style="6" customWidth="1"/>
    <col min="21" max="22" width="9.28515625" style="6" hidden="1" customWidth="1"/>
    <col min="23" max="23" width="9.5703125" style="6" hidden="1" customWidth="1"/>
    <col min="24" max="25" width="8.85546875" style="245" hidden="1" customWidth="1"/>
    <col min="26" max="27" width="5.140625" style="245" hidden="1" customWidth="1"/>
    <col min="28" max="29" width="4.85546875" style="245" hidden="1" customWidth="1"/>
    <col min="30" max="31" width="5.7109375" style="245" hidden="1" customWidth="1"/>
    <col min="32" max="34" width="8.85546875" style="245" hidden="1" customWidth="1"/>
    <col min="35" max="35" width="6.28515625" style="245" hidden="1" customWidth="1"/>
    <col min="36" max="36" width="6" style="245" hidden="1" customWidth="1"/>
    <col min="37" max="37" width="6.140625" style="245" hidden="1" customWidth="1"/>
    <col min="38" max="38" width="4.42578125" style="245" hidden="1" customWidth="1"/>
    <col min="39" max="39" width="5.140625" style="245" hidden="1" customWidth="1"/>
    <col min="40" max="40" width="5.42578125" style="245" hidden="1" customWidth="1"/>
    <col min="41" max="41" width="6.85546875" style="245" hidden="1" customWidth="1"/>
    <col min="42" max="43" width="8.85546875" style="245" hidden="1" customWidth="1"/>
    <col min="44" max="45" width="4.42578125" style="245" hidden="1" customWidth="1"/>
    <col min="46" max="46" width="6.140625" style="245" hidden="1" customWidth="1"/>
    <col min="47" max="47" width="4.42578125" style="245" hidden="1" customWidth="1"/>
    <col min="48" max="48" width="5.140625" style="245" hidden="1" customWidth="1"/>
    <col min="49" max="49" width="5.42578125" style="245" hidden="1" customWidth="1"/>
    <col min="50" max="52" width="8.85546875" style="245" hidden="1" customWidth="1"/>
    <col min="53" max="54" width="4.42578125" style="245" hidden="1" customWidth="1"/>
    <col min="55" max="55" width="6.140625" style="245" hidden="1" customWidth="1"/>
    <col min="56" max="56" width="4.42578125" style="245" hidden="1" customWidth="1"/>
    <col min="57" max="57" width="5.140625" style="245" hidden="1" customWidth="1"/>
    <col min="58" max="58" width="5.42578125" style="245" hidden="1" customWidth="1"/>
    <col min="59" max="59" width="8.85546875" style="245" hidden="1" customWidth="1"/>
    <col min="60" max="61" width="0" style="6" hidden="1" customWidth="1"/>
    <col min="62" max="16384" width="9.140625" style="6"/>
  </cols>
  <sheetData>
    <row r="1" spans="2:59" ht="15.75" x14ac:dyDescent="0.25">
      <c r="K1" s="82"/>
      <c r="L1" s="82"/>
      <c r="M1" s="82"/>
      <c r="O1" s="82"/>
      <c r="P1" s="82"/>
      <c r="Q1" s="306" t="s">
        <v>120</v>
      </c>
      <c r="R1" s="307"/>
      <c r="S1" s="307"/>
      <c r="U1" s="397"/>
      <c r="V1" s="397"/>
      <c r="W1" s="397"/>
    </row>
    <row r="2" spans="2:59" ht="15.75" x14ac:dyDescent="0.25">
      <c r="K2" s="82"/>
      <c r="L2" s="82"/>
      <c r="M2" s="82"/>
      <c r="O2" s="82"/>
      <c r="P2" s="82"/>
      <c r="Q2" s="306" t="s">
        <v>0</v>
      </c>
      <c r="R2" s="306"/>
      <c r="S2" s="306"/>
      <c r="U2" s="351"/>
      <c r="V2" s="351"/>
      <c r="W2" s="351"/>
    </row>
    <row r="3" spans="2:59" ht="15.75" x14ac:dyDescent="0.25">
      <c r="K3" s="82"/>
      <c r="L3" s="82"/>
      <c r="M3" s="82"/>
      <c r="O3" s="82"/>
      <c r="P3" s="82"/>
      <c r="Q3" s="306" t="s">
        <v>12</v>
      </c>
      <c r="R3" s="306"/>
      <c r="S3" s="306"/>
      <c r="U3" s="351"/>
      <c r="V3" s="351"/>
      <c r="W3" s="351"/>
    </row>
    <row r="4" spans="2:59" ht="15.75" x14ac:dyDescent="0.25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59" ht="15.75" x14ac:dyDescent="0.25">
      <c r="B5" s="1" t="s">
        <v>48</v>
      </c>
      <c r="C5" s="5"/>
      <c r="D5" s="5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389"/>
      <c r="T5" s="389"/>
      <c r="U5" s="131"/>
      <c r="V5" s="389"/>
      <c r="W5" s="389"/>
    </row>
    <row r="6" spans="2:59" ht="25.5" customHeight="1" x14ac:dyDescent="0.25">
      <c r="B6" s="378" t="s">
        <v>14</v>
      </c>
      <c r="C6" s="378"/>
      <c r="D6" s="378"/>
      <c r="E6" s="378"/>
      <c r="F6" s="378"/>
      <c r="G6" s="378"/>
      <c r="H6" s="378"/>
      <c r="I6" s="378"/>
      <c r="J6" s="378"/>
      <c r="K6" s="378" t="s">
        <v>15</v>
      </c>
      <c r="L6" s="378"/>
      <c r="M6" s="378"/>
      <c r="N6" s="378"/>
      <c r="O6" s="378"/>
      <c r="P6" s="378"/>
      <c r="Q6" s="378"/>
      <c r="R6" s="378" t="s">
        <v>113</v>
      </c>
      <c r="S6" s="378"/>
      <c r="T6" s="378"/>
      <c r="U6" s="399" t="s">
        <v>47</v>
      </c>
      <c r="V6" s="399"/>
      <c r="W6" s="399"/>
      <c r="X6" s="398" t="s">
        <v>242</v>
      </c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</row>
    <row r="7" spans="2:59" ht="76.5" customHeight="1" x14ac:dyDescent="0.25">
      <c r="B7" s="140" t="s">
        <v>4</v>
      </c>
      <c r="C7" s="140" t="s">
        <v>114</v>
      </c>
      <c r="D7" s="200" t="s">
        <v>17</v>
      </c>
      <c r="E7" s="96" t="s">
        <v>121</v>
      </c>
      <c r="F7" s="200" t="s">
        <v>18</v>
      </c>
      <c r="G7" s="200" t="s">
        <v>19</v>
      </c>
      <c r="H7" s="200" t="s">
        <v>20</v>
      </c>
      <c r="I7" s="200" t="s">
        <v>44</v>
      </c>
      <c r="J7" s="200" t="s">
        <v>45</v>
      </c>
      <c r="K7" s="200" t="s">
        <v>23</v>
      </c>
      <c r="L7" s="200" t="s">
        <v>24</v>
      </c>
      <c r="M7" s="200" t="s">
        <v>25</v>
      </c>
      <c r="N7" s="200" t="s">
        <v>26</v>
      </c>
      <c r="O7" s="200" t="s">
        <v>27</v>
      </c>
      <c r="P7" s="200" t="s">
        <v>28</v>
      </c>
      <c r="Q7" s="96" t="s">
        <v>122</v>
      </c>
      <c r="R7" s="200" t="s">
        <v>29</v>
      </c>
      <c r="S7" s="200" t="s">
        <v>30</v>
      </c>
      <c r="T7" s="200" t="s">
        <v>31</v>
      </c>
      <c r="U7" s="137" t="s">
        <v>29</v>
      </c>
      <c r="V7" s="137" t="s">
        <v>30</v>
      </c>
      <c r="W7" s="137" t="s">
        <v>31</v>
      </c>
      <c r="X7" s="246" t="s">
        <v>243</v>
      </c>
      <c r="Y7" s="246" t="s">
        <v>244</v>
      </c>
      <c r="Z7" s="247">
        <v>2017</v>
      </c>
      <c r="AA7" s="247">
        <v>2018</v>
      </c>
      <c r="AB7" s="247">
        <v>2019</v>
      </c>
      <c r="AC7" s="247">
        <v>2020</v>
      </c>
      <c r="AD7" s="247">
        <v>2021</v>
      </c>
      <c r="AE7" s="247" t="s">
        <v>705</v>
      </c>
      <c r="AF7" s="246" t="s">
        <v>245</v>
      </c>
      <c r="AG7" s="248" t="s">
        <v>236</v>
      </c>
      <c r="AH7" s="249" t="s">
        <v>246</v>
      </c>
      <c r="AI7" s="249">
        <v>2017</v>
      </c>
      <c r="AJ7" s="249">
        <v>2018</v>
      </c>
      <c r="AK7" s="249">
        <v>2019</v>
      </c>
      <c r="AL7" s="249">
        <v>2020</v>
      </c>
      <c r="AM7" s="249">
        <v>2021</v>
      </c>
      <c r="AN7" s="249" t="s">
        <v>23</v>
      </c>
      <c r="AO7" s="248" t="s">
        <v>247</v>
      </c>
      <c r="AP7" s="250" t="s">
        <v>238</v>
      </c>
      <c r="AQ7" s="251" t="s">
        <v>248</v>
      </c>
      <c r="AR7" s="251">
        <v>2017</v>
      </c>
      <c r="AS7" s="251">
        <v>2018</v>
      </c>
      <c r="AT7" s="251">
        <v>2019</v>
      </c>
      <c r="AU7" s="251">
        <v>2020</v>
      </c>
      <c r="AV7" s="251">
        <v>2021</v>
      </c>
      <c r="AW7" s="251" t="s">
        <v>23</v>
      </c>
      <c r="AX7" s="250" t="s">
        <v>249</v>
      </c>
      <c r="AY7" s="252" t="s">
        <v>240</v>
      </c>
      <c r="AZ7" s="253" t="s">
        <v>250</v>
      </c>
      <c r="BA7" s="253">
        <v>2017</v>
      </c>
      <c r="BB7" s="253">
        <v>2018</v>
      </c>
      <c r="BC7" s="253">
        <v>2019</v>
      </c>
      <c r="BD7" s="253">
        <v>2020</v>
      </c>
      <c r="BE7" s="253">
        <v>2021</v>
      </c>
      <c r="BF7" s="253" t="s">
        <v>23</v>
      </c>
      <c r="BG7" s="252" t="s">
        <v>251</v>
      </c>
    </row>
    <row r="8" spans="2:59" ht="15.75" customHeight="1" x14ac:dyDescent="0.25">
      <c r="B8" s="97" t="s">
        <v>32</v>
      </c>
      <c r="C8" s="97"/>
      <c r="D8" s="359" t="s">
        <v>655</v>
      </c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1"/>
      <c r="U8" s="141"/>
      <c r="V8" s="141"/>
      <c r="W8" s="141"/>
      <c r="X8" s="254"/>
      <c r="Y8" s="254"/>
      <c r="Z8" s="254"/>
      <c r="AA8" s="254"/>
      <c r="AB8" s="254"/>
      <c r="AC8" s="254"/>
      <c r="AD8" s="254"/>
      <c r="AE8" s="254"/>
      <c r="AF8" s="254"/>
      <c r="AG8" s="255"/>
      <c r="AH8" s="255"/>
      <c r="AI8" s="255"/>
      <c r="AJ8" s="255"/>
      <c r="AK8" s="255"/>
      <c r="AL8" s="255"/>
      <c r="AM8" s="255"/>
      <c r="AN8" s="255"/>
      <c r="AO8" s="255"/>
      <c r="AP8" s="256"/>
      <c r="AQ8" s="256"/>
      <c r="AR8" s="256"/>
      <c r="AS8" s="256"/>
      <c r="AT8" s="256"/>
      <c r="AU8" s="256"/>
      <c r="AV8" s="256"/>
      <c r="AW8" s="256"/>
      <c r="AX8" s="256"/>
      <c r="AY8" s="257"/>
      <c r="AZ8" s="257"/>
      <c r="BA8" s="257"/>
      <c r="BB8" s="257"/>
      <c r="BC8" s="257"/>
      <c r="BD8" s="257"/>
      <c r="BE8" s="257"/>
      <c r="BF8" s="257"/>
      <c r="BG8" s="257"/>
    </row>
    <row r="9" spans="2:59" ht="15" customHeight="1" x14ac:dyDescent="0.25">
      <c r="B9" s="97" t="s">
        <v>33</v>
      </c>
      <c r="C9" s="97"/>
      <c r="D9" s="359" t="s">
        <v>290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1"/>
      <c r="U9" s="141"/>
      <c r="V9" s="141"/>
      <c r="W9" s="141"/>
      <c r="X9" s="254"/>
      <c r="Y9" s="254"/>
      <c r="Z9" s="254"/>
      <c r="AA9" s="254"/>
      <c r="AB9" s="254"/>
      <c r="AC9" s="254"/>
      <c r="AD9" s="254"/>
      <c r="AE9" s="254"/>
      <c r="AF9" s="254"/>
      <c r="AG9" s="255"/>
      <c r="AH9" s="255"/>
      <c r="AI9" s="255"/>
      <c r="AJ9" s="255"/>
      <c r="AK9" s="255"/>
      <c r="AL9" s="255"/>
      <c r="AM9" s="255"/>
      <c r="AN9" s="255"/>
      <c r="AO9" s="255"/>
      <c r="AP9" s="256"/>
      <c r="AQ9" s="256"/>
      <c r="AR9" s="256"/>
      <c r="AS9" s="256"/>
      <c r="AT9" s="256"/>
      <c r="AU9" s="256"/>
      <c r="AV9" s="256"/>
      <c r="AW9" s="256"/>
      <c r="AX9" s="256"/>
      <c r="AY9" s="257"/>
      <c r="AZ9" s="257"/>
      <c r="BA9" s="257"/>
      <c r="BB9" s="257"/>
      <c r="BC9" s="257"/>
      <c r="BD9" s="257"/>
      <c r="BE9" s="257"/>
      <c r="BF9" s="257"/>
      <c r="BG9" s="257"/>
    </row>
    <row r="10" spans="2:59" ht="15" customHeight="1" x14ac:dyDescent="0.25">
      <c r="B10" s="97" t="s">
        <v>6</v>
      </c>
      <c r="C10" s="97"/>
      <c r="D10" s="359" t="s">
        <v>291</v>
      </c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1"/>
      <c r="U10" s="187"/>
      <c r="V10" s="187"/>
      <c r="W10" s="187"/>
      <c r="X10" s="254"/>
      <c r="Y10" s="254"/>
      <c r="Z10" s="254"/>
      <c r="AA10" s="254"/>
      <c r="AB10" s="254"/>
      <c r="AC10" s="254"/>
      <c r="AD10" s="254"/>
      <c r="AE10" s="254"/>
      <c r="AF10" s="254"/>
      <c r="AG10" s="255"/>
      <c r="AH10" s="255"/>
      <c r="AI10" s="255"/>
      <c r="AJ10" s="255"/>
      <c r="AK10" s="255"/>
      <c r="AL10" s="255"/>
      <c r="AM10" s="255"/>
      <c r="AN10" s="255"/>
      <c r="AO10" s="255"/>
      <c r="AP10" s="256"/>
      <c r="AQ10" s="256"/>
      <c r="AR10" s="256"/>
      <c r="AS10" s="256"/>
      <c r="AT10" s="256"/>
      <c r="AU10" s="256"/>
      <c r="AV10" s="256"/>
      <c r="AW10" s="256"/>
      <c r="AX10" s="256"/>
      <c r="AY10" s="257"/>
      <c r="AZ10" s="257"/>
      <c r="BA10" s="257"/>
      <c r="BB10" s="257"/>
      <c r="BC10" s="257"/>
      <c r="BD10" s="257"/>
      <c r="BE10" s="257"/>
      <c r="BF10" s="257"/>
      <c r="BG10" s="257"/>
    </row>
    <row r="11" spans="2:59" ht="15" customHeight="1" x14ac:dyDescent="0.25">
      <c r="B11" s="98" t="s">
        <v>35</v>
      </c>
      <c r="C11" s="98"/>
      <c r="D11" s="362" t="s">
        <v>292</v>
      </c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4"/>
      <c r="U11" s="142"/>
      <c r="V11" s="142"/>
      <c r="W11" s="142"/>
      <c r="X11" s="254"/>
      <c r="Y11" s="254"/>
      <c r="Z11" s="254"/>
      <c r="AA11" s="254"/>
      <c r="AB11" s="254"/>
      <c r="AC11" s="254"/>
      <c r="AD11" s="254"/>
      <c r="AE11" s="254"/>
      <c r="AF11" s="254"/>
      <c r="AG11" s="255"/>
      <c r="AH11" s="255"/>
      <c r="AI11" s="255"/>
      <c r="AJ11" s="255"/>
      <c r="AK11" s="255"/>
      <c r="AL11" s="255"/>
      <c r="AM11" s="255"/>
      <c r="AN11" s="255"/>
      <c r="AO11" s="255"/>
      <c r="AP11" s="256"/>
      <c r="AQ11" s="256"/>
      <c r="AR11" s="256"/>
      <c r="AS11" s="256"/>
      <c r="AT11" s="256"/>
      <c r="AU11" s="256"/>
      <c r="AV11" s="256"/>
      <c r="AW11" s="256"/>
      <c r="AX11" s="256"/>
      <c r="AY11" s="257"/>
      <c r="AZ11" s="257"/>
      <c r="BA11" s="257"/>
      <c r="BB11" s="257"/>
      <c r="BC11" s="257"/>
      <c r="BD11" s="257"/>
      <c r="BE11" s="257"/>
      <c r="BF11" s="257"/>
      <c r="BG11" s="257"/>
    </row>
    <row r="12" spans="2:59" ht="27.75" customHeight="1" x14ac:dyDescent="0.25">
      <c r="B12" s="93" t="s">
        <v>36</v>
      </c>
      <c r="C12" s="93"/>
      <c r="D12" s="78" t="s">
        <v>293</v>
      </c>
      <c r="E12" s="54" t="s">
        <v>294</v>
      </c>
      <c r="F12" s="55" t="s">
        <v>295</v>
      </c>
      <c r="G12" s="55" t="s">
        <v>296</v>
      </c>
      <c r="H12" s="55" t="s">
        <v>297</v>
      </c>
      <c r="I12" s="55" t="s">
        <v>298</v>
      </c>
      <c r="J12" s="93"/>
      <c r="K12" s="45">
        <f>SUM(L12:Q12)</f>
        <v>996471.76</v>
      </c>
      <c r="L12" s="45">
        <v>74735.38</v>
      </c>
      <c r="M12" s="45">
        <v>74735.38</v>
      </c>
      <c r="N12" s="45"/>
      <c r="O12" s="45"/>
      <c r="P12" s="45">
        <v>847001</v>
      </c>
      <c r="Q12" s="99"/>
      <c r="R12" s="188">
        <v>2019</v>
      </c>
      <c r="S12" s="46"/>
      <c r="T12" s="86"/>
      <c r="U12" s="38">
        <v>42856</v>
      </c>
      <c r="V12" s="46">
        <v>42766</v>
      </c>
      <c r="W12" s="42" t="str">
        <f>IF(U12-V12&lt;0,(U12-V12)/30.41667,"–")</f>
        <v>–</v>
      </c>
      <c r="X12" s="242" t="s">
        <v>299</v>
      </c>
      <c r="Y12" s="242" t="s">
        <v>300</v>
      </c>
      <c r="Z12" s="242"/>
      <c r="AA12" s="242"/>
      <c r="AB12" s="242"/>
      <c r="AC12" s="242"/>
      <c r="AD12" s="242"/>
      <c r="AE12" s="242">
        <f>SUM(Z12:AD12)</f>
        <v>0</v>
      </c>
      <c r="AF12" s="242">
        <v>36000</v>
      </c>
      <c r="AG12" s="241" t="s">
        <v>301</v>
      </c>
      <c r="AH12" s="258" t="s">
        <v>302</v>
      </c>
      <c r="AI12" s="258"/>
      <c r="AJ12" s="258"/>
      <c r="AK12" s="258"/>
      <c r="AL12" s="258"/>
      <c r="AM12" s="258"/>
      <c r="AN12" s="241">
        <f>SUM(AI12:AM12)</f>
        <v>0</v>
      </c>
      <c r="AO12" s="241">
        <v>700</v>
      </c>
      <c r="AP12" s="259"/>
      <c r="AQ12" s="259"/>
      <c r="AR12" s="260"/>
      <c r="AS12" s="260"/>
      <c r="AT12" s="260"/>
      <c r="AU12" s="260"/>
      <c r="AV12" s="260"/>
      <c r="AW12" s="259"/>
      <c r="AX12" s="259"/>
      <c r="AY12" s="261"/>
      <c r="AZ12" s="261"/>
      <c r="BA12" s="262"/>
      <c r="BB12" s="262"/>
      <c r="BC12" s="262"/>
      <c r="BD12" s="262"/>
      <c r="BE12" s="262"/>
      <c r="BF12" s="261"/>
      <c r="BG12" s="261"/>
    </row>
    <row r="13" spans="2:59" ht="27" customHeight="1" x14ac:dyDescent="0.25">
      <c r="B13" s="93" t="s">
        <v>37</v>
      </c>
      <c r="C13" s="93"/>
      <c r="D13" s="43" t="s">
        <v>303</v>
      </c>
      <c r="E13" s="54" t="s">
        <v>304</v>
      </c>
      <c r="F13" s="55" t="s">
        <v>295</v>
      </c>
      <c r="G13" s="55" t="s">
        <v>305</v>
      </c>
      <c r="H13" s="55" t="s">
        <v>297</v>
      </c>
      <c r="I13" s="55" t="s">
        <v>298</v>
      </c>
      <c r="J13" s="93"/>
      <c r="K13" s="45">
        <f>SUM(L13:Q13)</f>
        <v>870553</v>
      </c>
      <c r="L13" s="45">
        <v>65292</v>
      </c>
      <c r="M13" s="45">
        <v>65291</v>
      </c>
      <c r="N13" s="45"/>
      <c r="O13" s="45"/>
      <c r="P13" s="45">
        <v>739970</v>
      </c>
      <c r="Q13" s="99"/>
      <c r="R13" s="55">
        <v>2018</v>
      </c>
      <c r="S13" s="46"/>
      <c r="T13" s="86"/>
      <c r="U13" s="38">
        <v>42675</v>
      </c>
      <c r="V13" s="46">
        <v>42870</v>
      </c>
      <c r="W13" s="42">
        <f>IF(U13-V13&lt;0,(U13-V13)/30.41667,"–")</f>
        <v>-6.4109582015388273</v>
      </c>
      <c r="X13" s="242" t="s">
        <v>299</v>
      </c>
      <c r="Y13" s="242" t="s">
        <v>300</v>
      </c>
      <c r="Z13" s="242"/>
      <c r="AA13" s="242"/>
      <c r="AB13" s="242"/>
      <c r="AC13" s="242"/>
      <c r="AD13" s="242"/>
      <c r="AE13" s="242">
        <f t="shared" ref="AE13:AE20" si="0">SUM(Z13:AD13)</f>
        <v>0</v>
      </c>
      <c r="AF13" s="242">
        <v>34600</v>
      </c>
      <c r="AG13" s="241"/>
      <c r="AH13" s="241"/>
      <c r="AI13" s="241"/>
      <c r="AJ13" s="241"/>
      <c r="AK13" s="241"/>
      <c r="AL13" s="241"/>
      <c r="AM13" s="241"/>
      <c r="AN13" s="241"/>
      <c r="AO13" s="241"/>
      <c r="AP13" s="259"/>
      <c r="AQ13" s="259"/>
      <c r="AR13" s="259"/>
      <c r="AS13" s="259"/>
      <c r="AT13" s="259"/>
      <c r="AU13" s="259"/>
      <c r="AV13" s="259"/>
      <c r="AW13" s="259"/>
      <c r="AX13" s="259"/>
      <c r="AY13" s="261"/>
      <c r="AZ13" s="261"/>
      <c r="BA13" s="261"/>
      <c r="BB13" s="261"/>
      <c r="BC13" s="261"/>
      <c r="BD13" s="261"/>
      <c r="BE13" s="261"/>
      <c r="BF13" s="261"/>
      <c r="BG13" s="261"/>
    </row>
    <row r="14" spans="2:59" x14ac:dyDescent="0.25">
      <c r="B14" s="98" t="s">
        <v>38</v>
      </c>
      <c r="C14" s="98"/>
      <c r="D14" s="362" t="s">
        <v>306</v>
      </c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4"/>
      <c r="U14" s="142"/>
      <c r="V14" s="142"/>
      <c r="W14" s="142"/>
      <c r="X14" s="254"/>
      <c r="Y14" s="254"/>
      <c r="Z14" s="254"/>
      <c r="AA14" s="254"/>
      <c r="AB14" s="254"/>
      <c r="AC14" s="254"/>
      <c r="AD14" s="254"/>
      <c r="AE14" s="242"/>
      <c r="AF14" s="254"/>
      <c r="AG14" s="255"/>
      <c r="AH14" s="255"/>
      <c r="AI14" s="255"/>
      <c r="AJ14" s="255"/>
      <c r="AK14" s="255"/>
      <c r="AL14" s="255"/>
      <c r="AM14" s="255"/>
      <c r="AN14" s="241"/>
      <c r="AO14" s="255"/>
      <c r="AP14" s="256"/>
      <c r="AQ14" s="256"/>
      <c r="AR14" s="256"/>
      <c r="AS14" s="256"/>
      <c r="AT14" s="256"/>
      <c r="AU14" s="256"/>
      <c r="AV14" s="256"/>
      <c r="AW14" s="259"/>
      <c r="AX14" s="256"/>
      <c r="AY14" s="257"/>
      <c r="AZ14" s="257"/>
      <c r="BA14" s="257"/>
      <c r="BB14" s="257"/>
      <c r="BC14" s="257"/>
      <c r="BD14" s="257"/>
      <c r="BE14" s="257"/>
      <c r="BF14" s="261"/>
      <c r="BG14" s="257"/>
    </row>
    <row r="15" spans="2:59" ht="33" customHeight="1" x14ac:dyDescent="0.25">
      <c r="B15" s="93" t="s">
        <v>39</v>
      </c>
      <c r="C15" s="93"/>
      <c r="D15" s="47" t="s">
        <v>307</v>
      </c>
      <c r="E15" s="53" t="s">
        <v>308</v>
      </c>
      <c r="F15" s="53" t="s">
        <v>295</v>
      </c>
      <c r="G15" s="53" t="s">
        <v>309</v>
      </c>
      <c r="H15" s="53" t="s">
        <v>310</v>
      </c>
      <c r="I15" s="53" t="s">
        <v>298</v>
      </c>
      <c r="J15" s="53" t="s">
        <v>311</v>
      </c>
      <c r="K15" s="49">
        <f>SUM(L15:Q15)</f>
        <v>511094</v>
      </c>
      <c r="L15" s="49">
        <v>38332</v>
      </c>
      <c r="M15" s="49">
        <v>38332</v>
      </c>
      <c r="N15" s="49"/>
      <c r="O15" s="49"/>
      <c r="P15" s="49">
        <v>434430</v>
      </c>
      <c r="Q15" s="99"/>
      <c r="R15" s="53">
        <v>2019</v>
      </c>
      <c r="S15" s="50"/>
      <c r="T15" s="86"/>
      <c r="U15" s="39">
        <v>42795</v>
      </c>
      <c r="V15" s="50">
        <v>42837</v>
      </c>
      <c r="W15" s="42">
        <f>IF(U15-V15&lt;0,(U15-V15)/30.41667,"–")</f>
        <v>-1.3808217664852858</v>
      </c>
      <c r="X15" s="242" t="s">
        <v>312</v>
      </c>
      <c r="Y15" s="242" t="s">
        <v>313</v>
      </c>
      <c r="Z15" s="242"/>
      <c r="AA15" s="242"/>
      <c r="AB15" s="242"/>
      <c r="AC15" s="242"/>
      <c r="AD15" s="242"/>
      <c r="AE15" s="242">
        <f t="shared" si="0"/>
        <v>0</v>
      </c>
      <c r="AF15" s="242">
        <v>9007</v>
      </c>
      <c r="AG15" s="241" t="s">
        <v>314</v>
      </c>
      <c r="AH15" s="241" t="s">
        <v>703</v>
      </c>
      <c r="AI15" s="241"/>
      <c r="AJ15" s="241"/>
      <c r="AK15" s="241"/>
      <c r="AL15" s="241"/>
      <c r="AM15" s="241"/>
      <c r="AN15" s="241">
        <f t="shared" ref="AN15:AN74" si="1">SUM(AI15:AM15)</f>
        <v>0</v>
      </c>
      <c r="AO15" s="241">
        <v>53.56</v>
      </c>
      <c r="AP15" s="259"/>
      <c r="AQ15" s="259"/>
      <c r="AR15" s="259"/>
      <c r="AS15" s="259"/>
      <c r="AT15" s="259"/>
      <c r="AU15" s="259"/>
      <c r="AV15" s="259"/>
      <c r="AW15" s="259"/>
      <c r="AX15" s="259"/>
      <c r="AY15" s="261"/>
      <c r="AZ15" s="261"/>
      <c r="BA15" s="261"/>
      <c r="BB15" s="261"/>
      <c r="BC15" s="261"/>
      <c r="BD15" s="261"/>
      <c r="BE15" s="261"/>
      <c r="BF15" s="261"/>
      <c r="BG15" s="261"/>
    </row>
    <row r="16" spans="2:59" ht="54" customHeight="1" x14ac:dyDescent="0.25">
      <c r="B16" s="93" t="s">
        <v>40</v>
      </c>
      <c r="C16" s="93"/>
      <c r="D16" s="47" t="s">
        <v>315</v>
      </c>
      <c r="E16" s="53" t="s">
        <v>308</v>
      </c>
      <c r="F16" s="53" t="s">
        <v>295</v>
      </c>
      <c r="G16" s="53" t="s">
        <v>309</v>
      </c>
      <c r="H16" s="53" t="s">
        <v>310</v>
      </c>
      <c r="I16" s="53" t="s">
        <v>298</v>
      </c>
      <c r="J16" s="53" t="s">
        <v>311</v>
      </c>
      <c r="K16" s="49">
        <f>SUM(L16:Q16)</f>
        <v>406458</v>
      </c>
      <c r="L16" s="49">
        <v>30485</v>
      </c>
      <c r="M16" s="49">
        <v>30484</v>
      </c>
      <c r="N16" s="49"/>
      <c r="O16" s="49"/>
      <c r="P16" s="49">
        <v>345489</v>
      </c>
      <c r="Q16" s="99"/>
      <c r="R16" s="53">
        <v>2019</v>
      </c>
      <c r="S16" s="50"/>
      <c r="T16" s="86"/>
      <c r="U16" s="39">
        <v>42795</v>
      </c>
      <c r="V16" s="50">
        <v>42815</v>
      </c>
      <c r="W16" s="42">
        <f>IF(U16-V16&lt;0,(U16-V16)/30.41667,"–")</f>
        <v>-0.65753417451680285</v>
      </c>
      <c r="X16" s="242" t="s">
        <v>312</v>
      </c>
      <c r="Y16" s="242" t="s">
        <v>313</v>
      </c>
      <c r="Z16" s="242"/>
      <c r="AA16" s="242"/>
      <c r="AB16" s="242"/>
      <c r="AC16" s="242"/>
      <c r="AD16" s="242"/>
      <c r="AE16" s="242">
        <f t="shared" si="0"/>
        <v>0</v>
      </c>
      <c r="AF16" s="242">
        <v>33500</v>
      </c>
      <c r="AG16" s="241"/>
      <c r="AH16" s="241"/>
      <c r="AI16" s="241"/>
      <c r="AJ16" s="241"/>
      <c r="AK16" s="241"/>
      <c r="AL16" s="241"/>
      <c r="AM16" s="241"/>
      <c r="AN16" s="241"/>
      <c r="AO16" s="241"/>
      <c r="AP16" s="259"/>
      <c r="AQ16" s="259"/>
      <c r="AR16" s="259"/>
      <c r="AS16" s="259"/>
      <c r="AT16" s="259"/>
      <c r="AU16" s="259"/>
      <c r="AV16" s="259"/>
      <c r="AW16" s="259"/>
      <c r="AX16" s="259"/>
      <c r="AY16" s="261"/>
      <c r="AZ16" s="261"/>
      <c r="BA16" s="261"/>
      <c r="BB16" s="261"/>
      <c r="BC16" s="261"/>
      <c r="BD16" s="261"/>
      <c r="BE16" s="261"/>
      <c r="BF16" s="261"/>
      <c r="BG16" s="261"/>
    </row>
    <row r="17" spans="2:59" ht="15" customHeight="1" x14ac:dyDescent="0.25">
      <c r="B17" s="98" t="s">
        <v>316</v>
      </c>
      <c r="C17" s="100"/>
      <c r="D17" s="356" t="s">
        <v>317</v>
      </c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8"/>
      <c r="U17" s="189"/>
      <c r="V17" s="189"/>
      <c r="W17" s="189"/>
      <c r="X17" s="254"/>
      <c r="Y17" s="254"/>
      <c r="Z17" s="254"/>
      <c r="AA17" s="254"/>
      <c r="AB17" s="254"/>
      <c r="AC17" s="254"/>
      <c r="AD17" s="254"/>
      <c r="AE17" s="254"/>
      <c r="AF17" s="254"/>
      <c r="AG17" s="255"/>
      <c r="AH17" s="255"/>
      <c r="AI17" s="255"/>
      <c r="AJ17" s="255"/>
      <c r="AK17" s="255"/>
      <c r="AL17" s="255"/>
      <c r="AM17" s="255"/>
      <c r="AN17" s="241"/>
      <c r="AO17" s="255"/>
      <c r="AP17" s="256"/>
      <c r="AQ17" s="256"/>
      <c r="AR17" s="256"/>
      <c r="AS17" s="256"/>
      <c r="AT17" s="256"/>
      <c r="AU17" s="256"/>
      <c r="AV17" s="256"/>
      <c r="AW17" s="259"/>
      <c r="AX17" s="256"/>
      <c r="AY17" s="257"/>
      <c r="AZ17" s="257"/>
      <c r="BA17" s="257"/>
      <c r="BB17" s="257"/>
      <c r="BC17" s="257"/>
      <c r="BD17" s="257"/>
      <c r="BE17" s="257"/>
      <c r="BF17" s="261"/>
      <c r="BG17" s="257"/>
    </row>
    <row r="18" spans="2:59" ht="56.25" customHeight="1" x14ac:dyDescent="0.25">
      <c r="B18" s="93" t="s">
        <v>318</v>
      </c>
      <c r="C18" s="93"/>
      <c r="D18" s="43" t="s">
        <v>319</v>
      </c>
      <c r="E18" s="54" t="s">
        <v>304</v>
      </c>
      <c r="F18" s="55" t="s">
        <v>295</v>
      </c>
      <c r="G18" s="55" t="s">
        <v>320</v>
      </c>
      <c r="H18" s="55" t="s">
        <v>321</v>
      </c>
      <c r="I18" s="55" t="s">
        <v>322</v>
      </c>
      <c r="J18" s="55" t="s">
        <v>311</v>
      </c>
      <c r="K18" s="49">
        <f>SUM(L18:Q18)</f>
        <v>1022250</v>
      </c>
      <c r="L18" s="45">
        <v>76682</v>
      </c>
      <c r="M18" s="45">
        <v>76668</v>
      </c>
      <c r="N18" s="45"/>
      <c r="O18" s="45"/>
      <c r="P18" s="45">
        <v>868900</v>
      </c>
      <c r="Q18" s="99"/>
      <c r="R18" s="55">
        <v>2018</v>
      </c>
      <c r="S18" s="50"/>
      <c r="T18" s="86"/>
      <c r="U18" s="38">
        <v>42644</v>
      </c>
      <c r="V18" s="50">
        <v>42726</v>
      </c>
      <c r="W18" s="42">
        <f>IF(U18-V18&lt;0,(U18-V18)/30.41667,"–")</f>
        <v>-2.6958901155188917</v>
      </c>
      <c r="X18" s="242" t="s">
        <v>312</v>
      </c>
      <c r="Y18" s="242" t="s">
        <v>313</v>
      </c>
      <c r="Z18" s="242"/>
      <c r="AA18" s="242"/>
      <c r="AB18" s="242"/>
      <c r="AC18" s="242"/>
      <c r="AD18" s="242"/>
      <c r="AE18" s="242">
        <f t="shared" si="0"/>
        <v>0</v>
      </c>
      <c r="AF18" s="242">
        <v>4719.5</v>
      </c>
      <c r="AG18" s="241" t="s">
        <v>314</v>
      </c>
      <c r="AH18" s="241" t="s">
        <v>703</v>
      </c>
      <c r="AI18" s="263"/>
      <c r="AJ18" s="264"/>
      <c r="AK18" s="241"/>
      <c r="AL18" s="241"/>
      <c r="AM18" s="241"/>
      <c r="AN18" s="241">
        <f t="shared" si="1"/>
        <v>0</v>
      </c>
      <c r="AO18" s="241">
        <v>1757.57</v>
      </c>
      <c r="AP18" s="259"/>
      <c r="AQ18" s="259"/>
      <c r="AR18" s="259"/>
      <c r="AS18" s="259"/>
      <c r="AT18" s="259"/>
      <c r="AU18" s="259"/>
      <c r="AV18" s="259"/>
      <c r="AW18" s="259"/>
      <c r="AX18" s="259"/>
      <c r="AY18" s="261"/>
      <c r="AZ18" s="261"/>
      <c r="BA18" s="261"/>
      <c r="BB18" s="261"/>
      <c r="BC18" s="261"/>
      <c r="BD18" s="261"/>
      <c r="BE18" s="261"/>
      <c r="BF18" s="261"/>
      <c r="BG18" s="261"/>
    </row>
    <row r="19" spans="2:59" ht="15" customHeight="1" x14ac:dyDescent="0.25">
      <c r="B19" s="98" t="s">
        <v>324</v>
      </c>
      <c r="C19" s="100"/>
      <c r="D19" s="356" t="s">
        <v>325</v>
      </c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8"/>
      <c r="U19" s="100"/>
      <c r="V19" s="100"/>
      <c r="W19" s="68"/>
      <c r="X19" s="254"/>
      <c r="Y19" s="254"/>
      <c r="Z19" s="254"/>
      <c r="AA19" s="254"/>
      <c r="AB19" s="254"/>
      <c r="AC19" s="254"/>
      <c r="AD19" s="254"/>
      <c r="AE19" s="254"/>
      <c r="AF19" s="254"/>
      <c r="AG19" s="255"/>
      <c r="AH19" s="255"/>
      <c r="AI19" s="255"/>
      <c r="AJ19" s="255"/>
      <c r="AK19" s="255"/>
      <c r="AL19" s="255"/>
      <c r="AM19" s="255"/>
      <c r="AN19" s="241"/>
      <c r="AO19" s="255"/>
      <c r="AP19" s="256"/>
      <c r="AQ19" s="256"/>
      <c r="AR19" s="256"/>
      <c r="AS19" s="256"/>
      <c r="AT19" s="256"/>
      <c r="AU19" s="256"/>
      <c r="AV19" s="256"/>
      <c r="AW19" s="259"/>
      <c r="AX19" s="256"/>
      <c r="AY19" s="257"/>
      <c r="AZ19" s="257"/>
      <c r="BA19" s="257"/>
      <c r="BB19" s="257"/>
      <c r="BC19" s="257"/>
      <c r="BD19" s="257"/>
      <c r="BE19" s="257"/>
      <c r="BF19" s="261"/>
      <c r="BG19" s="257"/>
    </row>
    <row r="20" spans="2:59" ht="36" customHeight="1" x14ac:dyDescent="0.25">
      <c r="B20" s="93" t="s">
        <v>326</v>
      </c>
      <c r="C20" s="93"/>
      <c r="D20" s="43" t="s">
        <v>327</v>
      </c>
      <c r="E20" s="54" t="s">
        <v>328</v>
      </c>
      <c r="F20" s="55" t="s">
        <v>295</v>
      </c>
      <c r="G20" s="55" t="s">
        <v>329</v>
      </c>
      <c r="H20" s="55" t="s">
        <v>330</v>
      </c>
      <c r="I20" s="55" t="s">
        <v>298</v>
      </c>
      <c r="J20" s="55" t="s">
        <v>311</v>
      </c>
      <c r="K20" s="49">
        <f>SUM(L20:Q20)</f>
        <v>461773</v>
      </c>
      <c r="L20" s="45">
        <v>34633</v>
      </c>
      <c r="M20" s="45">
        <v>34633</v>
      </c>
      <c r="N20" s="45"/>
      <c r="O20" s="45"/>
      <c r="P20" s="45">
        <v>392507</v>
      </c>
      <c r="Q20" s="99"/>
      <c r="R20" s="55">
        <v>2019</v>
      </c>
      <c r="S20" s="46"/>
      <c r="T20" s="86"/>
      <c r="U20" s="38">
        <v>42705</v>
      </c>
      <c r="V20" s="46">
        <v>42815</v>
      </c>
      <c r="W20" s="42">
        <f>IF(U20-V20&lt;0,(U20-V20)/30.41667,"–")</f>
        <v>-3.6164379598424152</v>
      </c>
      <c r="X20" s="242" t="s">
        <v>312</v>
      </c>
      <c r="Y20" s="242" t="s">
        <v>313</v>
      </c>
      <c r="Z20" s="242"/>
      <c r="AA20" s="242"/>
      <c r="AB20" s="242"/>
      <c r="AC20" s="242"/>
      <c r="AD20" s="242"/>
      <c r="AE20" s="242">
        <f t="shared" si="0"/>
        <v>0</v>
      </c>
      <c r="AF20" s="242">
        <v>8001</v>
      </c>
      <c r="AG20" s="241"/>
      <c r="AH20" s="241"/>
      <c r="AI20" s="241"/>
      <c r="AJ20" s="241"/>
      <c r="AK20" s="241"/>
      <c r="AL20" s="241"/>
      <c r="AM20" s="241"/>
      <c r="AN20" s="241"/>
      <c r="AO20" s="241"/>
      <c r="AP20" s="259"/>
      <c r="AQ20" s="259"/>
      <c r="AR20" s="259"/>
      <c r="AS20" s="259"/>
      <c r="AT20" s="259"/>
      <c r="AU20" s="259"/>
      <c r="AV20" s="259"/>
      <c r="AW20" s="259"/>
      <c r="AX20" s="259"/>
      <c r="AY20" s="261"/>
      <c r="AZ20" s="261"/>
      <c r="BA20" s="261"/>
      <c r="BB20" s="261"/>
      <c r="BC20" s="261"/>
      <c r="BD20" s="261"/>
      <c r="BE20" s="261"/>
      <c r="BF20" s="261"/>
      <c r="BG20" s="261"/>
    </row>
    <row r="21" spans="2:59" ht="15.75" customHeight="1" x14ac:dyDescent="0.25">
      <c r="B21" s="101" t="s">
        <v>656</v>
      </c>
      <c r="C21" s="102"/>
      <c r="D21" s="374" t="s">
        <v>331</v>
      </c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6"/>
      <c r="U21" s="144"/>
      <c r="V21" s="144"/>
      <c r="W21" s="144"/>
      <c r="X21" s="254"/>
      <c r="Y21" s="254"/>
      <c r="Z21" s="254"/>
      <c r="AA21" s="254"/>
      <c r="AB21" s="254"/>
      <c r="AC21" s="254"/>
      <c r="AD21" s="254"/>
      <c r="AE21" s="254"/>
      <c r="AF21" s="254"/>
      <c r="AG21" s="255"/>
      <c r="AH21" s="255"/>
      <c r="AI21" s="255"/>
      <c r="AJ21" s="255"/>
      <c r="AK21" s="255"/>
      <c r="AL21" s="255"/>
      <c r="AM21" s="255"/>
      <c r="AN21" s="241"/>
      <c r="AO21" s="255"/>
      <c r="AP21" s="256"/>
      <c r="AQ21" s="256"/>
      <c r="AR21" s="256"/>
      <c r="AS21" s="256"/>
      <c r="AT21" s="256"/>
      <c r="AU21" s="256"/>
      <c r="AV21" s="256"/>
      <c r="AW21" s="259"/>
      <c r="AX21" s="256"/>
      <c r="AY21" s="257"/>
      <c r="AZ21" s="257"/>
      <c r="BA21" s="257"/>
      <c r="BB21" s="257"/>
      <c r="BC21" s="257"/>
      <c r="BD21" s="257"/>
      <c r="BE21" s="257"/>
      <c r="BF21" s="261"/>
      <c r="BG21" s="257"/>
    </row>
    <row r="22" spans="2:59" ht="15" customHeight="1" x14ac:dyDescent="0.25">
      <c r="B22" s="98" t="s">
        <v>332</v>
      </c>
      <c r="C22" s="210"/>
      <c r="D22" s="356" t="s">
        <v>333</v>
      </c>
      <c r="E22" s="357"/>
      <c r="F22" s="357"/>
      <c r="G22" s="357"/>
      <c r="H22" s="357"/>
      <c r="I22" s="357"/>
      <c r="J22" s="357"/>
      <c r="K22" s="211">
        <v>3321362</v>
      </c>
      <c r="L22" s="212"/>
      <c r="M22" s="212"/>
      <c r="N22" s="212"/>
      <c r="O22" s="212"/>
      <c r="P22" s="212"/>
      <c r="Q22" s="212"/>
      <c r="R22" s="201"/>
      <c r="S22" s="201"/>
      <c r="T22" s="201"/>
      <c r="U22" s="143"/>
      <c r="V22" s="143"/>
      <c r="W22" s="143"/>
      <c r="X22" s="242"/>
      <c r="Y22" s="242"/>
      <c r="Z22" s="242"/>
      <c r="AA22" s="242"/>
      <c r="AB22" s="242"/>
      <c r="AC22" s="242"/>
      <c r="AD22" s="242"/>
      <c r="AE22" s="242"/>
      <c r="AF22" s="242"/>
      <c r="AG22" s="241"/>
      <c r="AH22" s="241"/>
      <c r="AI22" s="241"/>
      <c r="AJ22" s="241"/>
      <c r="AK22" s="241"/>
      <c r="AL22" s="241"/>
      <c r="AM22" s="241"/>
      <c r="AN22" s="241"/>
      <c r="AO22" s="241"/>
      <c r="AP22" s="259"/>
      <c r="AQ22" s="259"/>
      <c r="AR22" s="259"/>
      <c r="AS22" s="259"/>
      <c r="AT22" s="259"/>
      <c r="AU22" s="259"/>
      <c r="AV22" s="259"/>
      <c r="AW22" s="259"/>
      <c r="AX22" s="259"/>
      <c r="AY22" s="261"/>
      <c r="AZ22" s="261"/>
      <c r="BA22" s="261"/>
      <c r="BB22" s="261"/>
      <c r="BC22" s="261"/>
      <c r="BD22" s="261"/>
      <c r="BE22" s="261"/>
      <c r="BF22" s="261"/>
      <c r="BG22" s="261"/>
    </row>
    <row r="23" spans="2:59" x14ac:dyDescent="0.25">
      <c r="B23" s="55" t="s">
        <v>660</v>
      </c>
      <c r="C23" s="103"/>
      <c r="D23" s="214"/>
      <c r="E23" s="214"/>
      <c r="F23" s="214"/>
      <c r="G23" s="214"/>
      <c r="H23" s="214"/>
      <c r="I23" s="214"/>
      <c r="J23" s="214"/>
      <c r="K23" s="215"/>
      <c r="L23" s="104"/>
      <c r="M23" s="104"/>
      <c r="N23" s="104"/>
      <c r="O23" s="104"/>
      <c r="P23" s="104"/>
      <c r="Q23" s="104"/>
      <c r="R23" s="104"/>
      <c r="S23" s="104"/>
      <c r="T23" s="104"/>
      <c r="U23" s="81"/>
      <c r="V23" s="81"/>
      <c r="W23" s="81"/>
      <c r="X23" s="254"/>
      <c r="Y23" s="254"/>
      <c r="Z23" s="254"/>
      <c r="AA23" s="254"/>
      <c r="AB23" s="254"/>
      <c r="AC23" s="254"/>
      <c r="AD23" s="254"/>
      <c r="AE23" s="254"/>
      <c r="AF23" s="254"/>
      <c r="AG23" s="255"/>
      <c r="AH23" s="255"/>
      <c r="AI23" s="255"/>
      <c r="AJ23" s="255"/>
      <c r="AK23" s="255"/>
      <c r="AL23" s="255"/>
      <c r="AM23" s="255"/>
      <c r="AN23" s="241"/>
      <c r="AO23" s="255"/>
      <c r="AP23" s="256"/>
      <c r="AQ23" s="256"/>
      <c r="AR23" s="256"/>
      <c r="AS23" s="256"/>
      <c r="AT23" s="256"/>
      <c r="AU23" s="256"/>
      <c r="AV23" s="256"/>
      <c r="AW23" s="259"/>
      <c r="AX23" s="256"/>
      <c r="AY23" s="257"/>
      <c r="AZ23" s="257"/>
      <c r="BA23" s="257"/>
      <c r="BB23" s="257"/>
      <c r="BC23" s="257"/>
      <c r="BD23" s="257"/>
      <c r="BE23" s="257"/>
      <c r="BF23" s="261"/>
      <c r="BG23" s="257"/>
    </row>
    <row r="24" spans="2:59" x14ac:dyDescent="0.25">
      <c r="B24" s="101" t="s">
        <v>657</v>
      </c>
      <c r="C24" s="102"/>
      <c r="D24" s="374" t="s">
        <v>335</v>
      </c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6"/>
      <c r="U24" s="138"/>
      <c r="V24" s="138"/>
      <c r="W24" s="138"/>
      <c r="X24" s="254"/>
      <c r="Y24" s="254"/>
      <c r="Z24" s="254"/>
      <c r="AA24" s="254"/>
      <c r="AB24" s="254"/>
      <c r="AC24" s="254"/>
      <c r="AD24" s="254"/>
      <c r="AE24" s="254"/>
      <c r="AF24" s="254"/>
      <c r="AG24" s="255"/>
      <c r="AH24" s="255"/>
      <c r="AI24" s="255"/>
      <c r="AJ24" s="255"/>
      <c r="AK24" s="255"/>
      <c r="AL24" s="255"/>
      <c r="AM24" s="255"/>
      <c r="AN24" s="241"/>
      <c r="AO24" s="255"/>
      <c r="AP24" s="256"/>
      <c r="AQ24" s="256"/>
      <c r="AR24" s="256"/>
      <c r="AS24" s="256"/>
      <c r="AT24" s="256"/>
      <c r="AU24" s="256"/>
      <c r="AV24" s="256"/>
      <c r="AW24" s="259"/>
      <c r="AX24" s="256"/>
      <c r="AY24" s="257"/>
      <c r="AZ24" s="257"/>
      <c r="BA24" s="257"/>
      <c r="BB24" s="257"/>
      <c r="BC24" s="257"/>
      <c r="BD24" s="257"/>
      <c r="BE24" s="257"/>
      <c r="BF24" s="261"/>
      <c r="BG24" s="257"/>
    </row>
    <row r="25" spans="2:59" x14ac:dyDescent="0.25">
      <c r="B25" s="101" t="s">
        <v>658</v>
      </c>
      <c r="C25" s="102"/>
      <c r="D25" s="374" t="s">
        <v>336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6"/>
      <c r="U25" s="145"/>
      <c r="V25" s="145"/>
      <c r="W25" s="145"/>
      <c r="X25" s="254"/>
      <c r="Y25" s="254"/>
      <c r="Z25" s="254"/>
      <c r="AA25" s="254"/>
      <c r="AB25" s="254"/>
      <c r="AC25" s="254"/>
      <c r="AD25" s="254"/>
      <c r="AE25" s="254"/>
      <c r="AF25" s="254"/>
      <c r="AG25" s="255"/>
      <c r="AH25" s="255"/>
      <c r="AI25" s="255"/>
      <c r="AJ25" s="255"/>
      <c r="AK25" s="255"/>
      <c r="AL25" s="255"/>
      <c r="AM25" s="255"/>
      <c r="AN25" s="241"/>
      <c r="AO25" s="255"/>
      <c r="AP25" s="256"/>
      <c r="AQ25" s="256"/>
      <c r="AR25" s="256"/>
      <c r="AS25" s="256"/>
      <c r="AT25" s="256"/>
      <c r="AU25" s="256"/>
      <c r="AV25" s="256"/>
      <c r="AW25" s="259"/>
      <c r="AX25" s="256"/>
      <c r="AY25" s="257"/>
      <c r="AZ25" s="257"/>
      <c r="BA25" s="257"/>
      <c r="BB25" s="257"/>
      <c r="BC25" s="257"/>
      <c r="BD25" s="257"/>
      <c r="BE25" s="257"/>
      <c r="BF25" s="261"/>
      <c r="BG25" s="257"/>
    </row>
    <row r="26" spans="2:59" x14ac:dyDescent="0.25">
      <c r="B26" s="105" t="s">
        <v>337</v>
      </c>
      <c r="C26" s="100"/>
      <c r="D26" s="365" t="s">
        <v>338</v>
      </c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7"/>
      <c r="U26" s="139"/>
      <c r="V26" s="139"/>
      <c r="W26" s="139"/>
      <c r="X26" s="254"/>
      <c r="Y26" s="254"/>
      <c r="Z26" s="254"/>
      <c r="AA26" s="254"/>
      <c r="AB26" s="254"/>
      <c r="AC26" s="254"/>
      <c r="AD26" s="254"/>
      <c r="AE26" s="254"/>
      <c r="AF26" s="254"/>
      <c r="AG26" s="255"/>
      <c r="AH26" s="255"/>
      <c r="AI26" s="255"/>
      <c r="AJ26" s="255"/>
      <c r="AK26" s="255"/>
      <c r="AL26" s="255"/>
      <c r="AM26" s="255"/>
      <c r="AN26" s="241"/>
      <c r="AO26" s="255"/>
      <c r="AP26" s="256"/>
      <c r="AQ26" s="256"/>
      <c r="AR26" s="256"/>
      <c r="AS26" s="256"/>
      <c r="AT26" s="256"/>
      <c r="AU26" s="256"/>
      <c r="AV26" s="256"/>
      <c r="AW26" s="259"/>
      <c r="AX26" s="256"/>
      <c r="AY26" s="257"/>
      <c r="AZ26" s="257"/>
      <c r="BA26" s="257"/>
      <c r="BB26" s="257"/>
      <c r="BC26" s="257"/>
      <c r="BD26" s="257"/>
      <c r="BE26" s="257"/>
      <c r="BF26" s="261"/>
      <c r="BG26" s="257"/>
    </row>
    <row r="27" spans="2:59" ht="35.25" customHeight="1" x14ac:dyDescent="0.25">
      <c r="B27" s="92" t="s">
        <v>339</v>
      </c>
      <c r="C27" s="93"/>
      <c r="D27" s="78" t="s">
        <v>340</v>
      </c>
      <c r="E27" s="54" t="s">
        <v>294</v>
      </c>
      <c r="F27" s="55" t="s">
        <v>341</v>
      </c>
      <c r="G27" s="55" t="s">
        <v>342</v>
      </c>
      <c r="H27" s="55" t="s">
        <v>343</v>
      </c>
      <c r="I27" s="55" t="s">
        <v>298</v>
      </c>
      <c r="J27" s="55"/>
      <c r="K27" s="49">
        <f>SUM(L27:Q27)</f>
        <v>822057.65</v>
      </c>
      <c r="L27" s="45">
        <v>123308.65</v>
      </c>
      <c r="M27" s="45"/>
      <c r="N27" s="45"/>
      <c r="O27" s="45"/>
      <c r="P27" s="45">
        <v>698749</v>
      </c>
      <c r="Q27" s="99"/>
      <c r="R27" s="55">
        <v>2019</v>
      </c>
      <c r="S27" s="46"/>
      <c r="T27" s="86"/>
      <c r="U27" s="38">
        <v>42917</v>
      </c>
      <c r="V27" s="46">
        <v>42993</v>
      </c>
      <c r="W27" s="42">
        <f>IF(U27-V27&lt;0,(U27-V27)/30.41667,"–")</f>
        <v>-2.4986298631638508</v>
      </c>
      <c r="X27" s="242" t="s">
        <v>345</v>
      </c>
      <c r="Y27" s="242" t="s">
        <v>346</v>
      </c>
      <c r="Z27" s="242"/>
      <c r="AA27" s="242"/>
      <c r="AB27" s="242"/>
      <c r="AC27" s="242"/>
      <c r="AD27" s="242"/>
      <c r="AE27" s="242">
        <f t="shared" ref="AE27:AE31" si="2">SUM(Z27:AD27)</f>
        <v>0</v>
      </c>
      <c r="AF27" s="242">
        <v>5</v>
      </c>
      <c r="AG27" s="241"/>
      <c r="AH27" s="241"/>
      <c r="AI27" s="241"/>
      <c r="AJ27" s="241"/>
      <c r="AK27" s="241"/>
      <c r="AL27" s="241"/>
      <c r="AM27" s="241"/>
      <c r="AN27" s="241"/>
      <c r="AO27" s="241"/>
      <c r="AP27" s="259"/>
      <c r="AQ27" s="259"/>
      <c r="AR27" s="259"/>
      <c r="AS27" s="259"/>
      <c r="AT27" s="259"/>
      <c r="AU27" s="259"/>
      <c r="AV27" s="259"/>
      <c r="AW27" s="259"/>
      <c r="AX27" s="259"/>
      <c r="AY27" s="261"/>
      <c r="AZ27" s="261"/>
      <c r="BA27" s="261"/>
      <c r="BB27" s="261"/>
      <c r="BC27" s="261"/>
      <c r="BD27" s="261"/>
      <c r="BE27" s="261"/>
      <c r="BF27" s="261"/>
      <c r="BG27" s="261"/>
    </row>
    <row r="28" spans="2:59" ht="33" customHeight="1" x14ac:dyDescent="0.25">
      <c r="B28" s="92" t="s">
        <v>347</v>
      </c>
      <c r="C28" s="93"/>
      <c r="D28" s="43" t="s">
        <v>348</v>
      </c>
      <c r="E28" s="54" t="s">
        <v>308</v>
      </c>
      <c r="F28" s="55" t="s">
        <v>341</v>
      </c>
      <c r="G28" s="55" t="s">
        <v>349</v>
      </c>
      <c r="H28" s="55" t="s">
        <v>343</v>
      </c>
      <c r="I28" s="55" t="s">
        <v>298</v>
      </c>
      <c r="J28" s="55" t="s">
        <v>311</v>
      </c>
      <c r="K28" s="49">
        <f t="shared" ref="K28:K41" si="3">SUM(L28:Q28)</f>
        <v>336192.2</v>
      </c>
      <c r="L28" s="45">
        <v>43873.7</v>
      </c>
      <c r="M28" s="45"/>
      <c r="N28" s="45"/>
      <c r="O28" s="45">
        <v>23701.5</v>
      </c>
      <c r="P28" s="45">
        <v>268617</v>
      </c>
      <c r="Q28" s="99"/>
      <c r="R28" s="55">
        <v>2018</v>
      </c>
      <c r="S28" s="46"/>
      <c r="T28" s="86"/>
      <c r="U28" s="38">
        <v>42826</v>
      </c>
      <c r="V28" s="84"/>
      <c r="W28" s="42"/>
      <c r="X28" s="242" t="s">
        <v>350</v>
      </c>
      <c r="Y28" s="242" t="s">
        <v>351</v>
      </c>
      <c r="Z28" s="242"/>
      <c r="AA28" s="242"/>
      <c r="AB28" s="242"/>
      <c r="AC28" s="242"/>
      <c r="AD28" s="242"/>
      <c r="AE28" s="242">
        <f t="shared" si="2"/>
        <v>0</v>
      </c>
      <c r="AF28" s="242">
        <v>0.21</v>
      </c>
      <c r="AG28" s="241" t="s">
        <v>352</v>
      </c>
      <c r="AH28" s="241" t="s">
        <v>353</v>
      </c>
      <c r="AI28" s="241"/>
      <c r="AJ28" s="241"/>
      <c r="AK28" s="241"/>
      <c r="AL28" s="241"/>
      <c r="AM28" s="241"/>
      <c r="AN28" s="241">
        <f t="shared" si="1"/>
        <v>0</v>
      </c>
      <c r="AO28" s="241">
        <v>0.51</v>
      </c>
      <c r="AP28" s="259"/>
      <c r="AQ28" s="259"/>
      <c r="AR28" s="259"/>
      <c r="AS28" s="259"/>
      <c r="AT28" s="259"/>
      <c r="AU28" s="259"/>
      <c r="AV28" s="259"/>
      <c r="AW28" s="259"/>
      <c r="AX28" s="259"/>
      <c r="AY28" s="261"/>
      <c r="AZ28" s="261"/>
      <c r="BA28" s="261"/>
      <c r="BB28" s="261"/>
      <c r="BC28" s="261"/>
      <c r="BD28" s="261"/>
      <c r="BE28" s="261"/>
      <c r="BF28" s="261"/>
      <c r="BG28" s="261"/>
    </row>
    <row r="29" spans="2:59" ht="27" customHeight="1" x14ac:dyDescent="0.25">
      <c r="B29" s="92" t="s">
        <v>354</v>
      </c>
      <c r="C29" s="93"/>
      <c r="D29" s="78" t="s">
        <v>355</v>
      </c>
      <c r="E29" s="54" t="s">
        <v>328</v>
      </c>
      <c r="F29" s="55" t="s">
        <v>341</v>
      </c>
      <c r="G29" s="55" t="s">
        <v>356</v>
      </c>
      <c r="H29" s="55" t="s">
        <v>343</v>
      </c>
      <c r="I29" s="55" t="s">
        <v>298</v>
      </c>
      <c r="J29" s="55" t="s">
        <v>311</v>
      </c>
      <c r="K29" s="49">
        <f t="shared" si="3"/>
        <v>794019</v>
      </c>
      <c r="L29" s="45">
        <v>59552</v>
      </c>
      <c r="M29" s="45"/>
      <c r="N29" s="45"/>
      <c r="O29" s="45">
        <v>59551</v>
      </c>
      <c r="P29" s="45">
        <v>674916</v>
      </c>
      <c r="Q29" s="99"/>
      <c r="R29" s="55">
        <v>2019</v>
      </c>
      <c r="S29" s="46"/>
      <c r="T29" s="86"/>
      <c r="U29" s="38">
        <v>42979</v>
      </c>
      <c r="V29" s="46">
        <v>43021</v>
      </c>
      <c r="W29" s="42">
        <f t="shared" ref="W29:W31" si="4">IF(U29-V29&lt;0,(U29-V29)/30.41667,"–")</f>
        <v>-1.3808217664852858</v>
      </c>
      <c r="X29" s="242" t="s">
        <v>350</v>
      </c>
      <c r="Y29" s="242" t="s">
        <v>351</v>
      </c>
      <c r="Z29" s="242"/>
      <c r="AA29" s="242"/>
      <c r="AB29" s="242"/>
      <c r="AC29" s="242"/>
      <c r="AD29" s="242"/>
      <c r="AE29" s="242">
        <f t="shared" si="2"/>
        <v>0</v>
      </c>
      <c r="AF29" s="242">
        <v>2.0910000000000002</v>
      </c>
      <c r="AG29" s="241"/>
      <c r="AH29" s="241"/>
      <c r="AI29" s="241"/>
      <c r="AJ29" s="241"/>
      <c r="AK29" s="241"/>
      <c r="AL29" s="241"/>
      <c r="AM29" s="241"/>
      <c r="AN29" s="241"/>
      <c r="AO29" s="241"/>
      <c r="AP29" s="259"/>
      <c r="AQ29" s="259"/>
      <c r="AR29" s="259"/>
      <c r="AS29" s="259"/>
      <c r="AT29" s="259"/>
      <c r="AU29" s="259"/>
      <c r="AV29" s="259"/>
      <c r="AW29" s="259"/>
      <c r="AX29" s="259"/>
      <c r="AY29" s="261"/>
      <c r="AZ29" s="261"/>
      <c r="BA29" s="261"/>
      <c r="BB29" s="261"/>
      <c r="BC29" s="261"/>
      <c r="BD29" s="261"/>
      <c r="BE29" s="261"/>
      <c r="BF29" s="261"/>
      <c r="BG29" s="261"/>
    </row>
    <row r="30" spans="2:59" ht="32.25" customHeight="1" x14ac:dyDescent="0.25">
      <c r="B30" s="92" t="s">
        <v>357</v>
      </c>
      <c r="C30" s="93"/>
      <c r="D30" s="43" t="s">
        <v>358</v>
      </c>
      <c r="E30" s="54" t="s">
        <v>328</v>
      </c>
      <c r="F30" s="55" t="s">
        <v>341</v>
      </c>
      <c r="G30" s="55" t="s">
        <v>356</v>
      </c>
      <c r="H30" s="55" t="s">
        <v>343</v>
      </c>
      <c r="I30" s="55" t="s">
        <v>298</v>
      </c>
      <c r="J30" s="55" t="s">
        <v>311</v>
      </c>
      <c r="K30" s="49">
        <f t="shared" si="3"/>
        <v>194118</v>
      </c>
      <c r="L30" s="45">
        <v>64860</v>
      </c>
      <c r="M30" s="45"/>
      <c r="N30" s="45"/>
      <c r="O30" s="45">
        <v>14558</v>
      </c>
      <c r="P30" s="45">
        <v>114700</v>
      </c>
      <c r="Q30" s="99"/>
      <c r="R30" s="55">
        <v>2020</v>
      </c>
      <c r="S30" s="46"/>
      <c r="T30" s="86"/>
      <c r="U30" s="38">
        <v>43435</v>
      </c>
      <c r="V30" s="46"/>
      <c r="W30" s="42"/>
      <c r="X30" s="242" t="s">
        <v>345</v>
      </c>
      <c r="Y30" s="242" t="s">
        <v>346</v>
      </c>
      <c r="Z30" s="242"/>
      <c r="AA30" s="242"/>
      <c r="AB30" s="242"/>
      <c r="AC30" s="242"/>
      <c r="AD30" s="242"/>
      <c r="AE30" s="242">
        <f t="shared" si="2"/>
        <v>0</v>
      </c>
      <c r="AF30" s="242">
        <v>1</v>
      </c>
      <c r="AG30" s="241"/>
      <c r="AH30" s="241"/>
      <c r="AI30" s="241"/>
      <c r="AJ30" s="241"/>
      <c r="AK30" s="241"/>
      <c r="AL30" s="241"/>
      <c r="AM30" s="241"/>
      <c r="AN30" s="241"/>
      <c r="AO30" s="241"/>
      <c r="AP30" s="259"/>
      <c r="AQ30" s="259"/>
      <c r="AR30" s="259"/>
      <c r="AS30" s="259"/>
      <c r="AT30" s="259"/>
      <c r="AU30" s="259"/>
      <c r="AV30" s="259"/>
      <c r="AW30" s="259"/>
      <c r="AX30" s="259"/>
      <c r="AY30" s="261"/>
      <c r="AZ30" s="261"/>
      <c r="BA30" s="261"/>
      <c r="BB30" s="261"/>
      <c r="BC30" s="261"/>
      <c r="BD30" s="261"/>
      <c r="BE30" s="261"/>
      <c r="BF30" s="261"/>
      <c r="BG30" s="261"/>
    </row>
    <row r="31" spans="2:59" ht="30" customHeight="1" x14ac:dyDescent="0.25">
      <c r="B31" s="92" t="s">
        <v>359</v>
      </c>
      <c r="C31" s="93"/>
      <c r="D31" s="78" t="s">
        <v>360</v>
      </c>
      <c r="E31" s="54" t="s">
        <v>304</v>
      </c>
      <c r="F31" s="55" t="s">
        <v>341</v>
      </c>
      <c r="G31" s="55" t="s">
        <v>320</v>
      </c>
      <c r="H31" s="55" t="s">
        <v>343</v>
      </c>
      <c r="I31" s="55" t="s">
        <v>298</v>
      </c>
      <c r="J31" s="55" t="s">
        <v>311</v>
      </c>
      <c r="K31" s="45">
        <f t="shared" si="3"/>
        <v>1866751.15</v>
      </c>
      <c r="L31" s="45">
        <v>678877.04</v>
      </c>
      <c r="M31" s="45"/>
      <c r="N31" s="45"/>
      <c r="O31" s="45">
        <v>96314.11</v>
      </c>
      <c r="P31" s="45">
        <v>1091560</v>
      </c>
      <c r="Q31" s="99"/>
      <c r="R31" s="55">
        <v>2020</v>
      </c>
      <c r="S31" s="46"/>
      <c r="T31" s="86"/>
      <c r="U31" s="38">
        <v>42887</v>
      </c>
      <c r="V31" s="46">
        <v>42921</v>
      </c>
      <c r="W31" s="42">
        <f t="shared" si="4"/>
        <v>-1.1178080966785648</v>
      </c>
      <c r="X31" s="242" t="s">
        <v>350</v>
      </c>
      <c r="Y31" s="242" t="s">
        <v>351</v>
      </c>
      <c r="Z31" s="242"/>
      <c r="AA31" s="242"/>
      <c r="AB31" s="242"/>
      <c r="AC31" s="242"/>
      <c r="AD31" s="242"/>
      <c r="AE31" s="242">
        <f t="shared" si="2"/>
        <v>0</v>
      </c>
      <c r="AF31" s="242">
        <v>1.651</v>
      </c>
      <c r="AG31" s="241" t="s">
        <v>345</v>
      </c>
      <c r="AH31" s="241" t="s">
        <v>346</v>
      </c>
      <c r="AI31" s="241"/>
      <c r="AJ31" s="241"/>
      <c r="AK31" s="241"/>
      <c r="AL31" s="241"/>
      <c r="AM31" s="241"/>
      <c r="AN31" s="241">
        <f t="shared" si="1"/>
        <v>0</v>
      </c>
      <c r="AO31" s="241">
        <v>2</v>
      </c>
      <c r="AP31" s="259"/>
      <c r="AQ31" s="259"/>
      <c r="AR31" s="259"/>
      <c r="AS31" s="259"/>
      <c r="AT31" s="259"/>
      <c r="AU31" s="259"/>
      <c r="AV31" s="259"/>
      <c r="AW31" s="259"/>
      <c r="AX31" s="259"/>
      <c r="AY31" s="261"/>
      <c r="AZ31" s="261"/>
      <c r="BA31" s="261"/>
      <c r="BB31" s="261"/>
      <c r="BC31" s="261"/>
      <c r="BD31" s="261"/>
      <c r="BE31" s="261"/>
      <c r="BF31" s="261"/>
      <c r="BG31" s="261"/>
    </row>
    <row r="32" spans="2:59" ht="15" customHeight="1" x14ac:dyDescent="0.25">
      <c r="B32" s="105" t="s">
        <v>361</v>
      </c>
      <c r="C32" s="100"/>
      <c r="D32" s="356" t="s">
        <v>362</v>
      </c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8"/>
      <c r="U32" s="190"/>
      <c r="V32" s="190"/>
      <c r="W32" s="190"/>
      <c r="X32" s="254"/>
      <c r="Y32" s="254"/>
      <c r="Z32" s="254"/>
      <c r="AA32" s="254"/>
      <c r="AB32" s="254"/>
      <c r="AC32" s="254"/>
      <c r="AD32" s="254"/>
      <c r="AE32" s="254"/>
      <c r="AF32" s="254"/>
      <c r="AG32" s="255"/>
      <c r="AH32" s="255"/>
      <c r="AI32" s="255"/>
      <c r="AJ32" s="255"/>
      <c r="AK32" s="255"/>
      <c r="AL32" s="255"/>
      <c r="AM32" s="255"/>
      <c r="AN32" s="241"/>
      <c r="AO32" s="255"/>
      <c r="AP32" s="256"/>
      <c r="AQ32" s="256"/>
      <c r="AR32" s="256"/>
      <c r="AS32" s="256"/>
      <c r="AT32" s="256"/>
      <c r="AU32" s="256"/>
      <c r="AV32" s="256"/>
      <c r="AW32" s="259"/>
      <c r="AX32" s="256"/>
      <c r="AY32" s="257"/>
      <c r="AZ32" s="257"/>
      <c r="BA32" s="257"/>
      <c r="BB32" s="257"/>
      <c r="BC32" s="257"/>
      <c r="BD32" s="257"/>
      <c r="BE32" s="257"/>
      <c r="BF32" s="261"/>
      <c r="BG32" s="257"/>
    </row>
    <row r="33" spans="2:59" ht="24.75" customHeight="1" x14ac:dyDescent="0.25">
      <c r="B33" s="92" t="s">
        <v>363</v>
      </c>
      <c r="C33" s="93"/>
      <c r="D33" s="43" t="s">
        <v>364</v>
      </c>
      <c r="E33" s="54" t="s">
        <v>304</v>
      </c>
      <c r="F33" s="55" t="s">
        <v>341</v>
      </c>
      <c r="G33" s="55" t="s">
        <v>320</v>
      </c>
      <c r="H33" s="55" t="s">
        <v>365</v>
      </c>
      <c r="I33" s="55" t="s">
        <v>298</v>
      </c>
      <c r="J33" s="55" t="s">
        <v>311</v>
      </c>
      <c r="K33" s="45">
        <f t="shared" si="3"/>
        <v>1277647</v>
      </c>
      <c r="L33" s="45">
        <v>191647</v>
      </c>
      <c r="M33" s="45"/>
      <c r="N33" s="45"/>
      <c r="O33" s="45"/>
      <c r="P33" s="45">
        <v>1086000</v>
      </c>
      <c r="Q33" s="99"/>
      <c r="R33" s="55">
        <v>2021</v>
      </c>
      <c r="S33" s="106"/>
      <c r="T33" s="86"/>
      <c r="U33" s="38">
        <v>42979</v>
      </c>
      <c r="V33" s="87"/>
      <c r="W33" s="85"/>
      <c r="X33" s="242" t="s">
        <v>367</v>
      </c>
      <c r="Y33" s="242" t="s">
        <v>368</v>
      </c>
      <c r="Z33" s="242"/>
      <c r="AA33" s="242"/>
      <c r="AB33" s="242"/>
      <c r="AC33" s="242"/>
      <c r="AD33" s="242"/>
      <c r="AE33" s="242"/>
      <c r="AF33" s="242">
        <v>1</v>
      </c>
      <c r="AG33" s="243" t="s">
        <v>776</v>
      </c>
      <c r="AH33" s="243" t="s">
        <v>777</v>
      </c>
      <c r="AI33" s="241"/>
      <c r="AJ33" s="241"/>
      <c r="AK33" s="241"/>
      <c r="AL33" s="241"/>
      <c r="AM33" s="241"/>
      <c r="AN33" s="241"/>
      <c r="AO33" s="241">
        <v>1</v>
      </c>
      <c r="AP33" s="259"/>
      <c r="AQ33" s="259"/>
      <c r="AR33" s="259"/>
      <c r="AS33" s="259"/>
      <c r="AT33" s="259"/>
      <c r="AU33" s="259"/>
      <c r="AV33" s="259"/>
      <c r="AW33" s="259"/>
      <c r="AX33" s="259"/>
      <c r="AY33" s="261"/>
      <c r="AZ33" s="261"/>
      <c r="BA33" s="261"/>
      <c r="BB33" s="261"/>
      <c r="BC33" s="261"/>
      <c r="BD33" s="261"/>
      <c r="BE33" s="261"/>
      <c r="BF33" s="261"/>
      <c r="BG33" s="261"/>
    </row>
    <row r="34" spans="2:59" ht="27.75" customHeight="1" x14ac:dyDescent="0.25">
      <c r="B34" s="92" t="s">
        <v>369</v>
      </c>
      <c r="C34" s="93"/>
      <c r="D34" s="43" t="s">
        <v>370</v>
      </c>
      <c r="E34" s="54" t="s">
        <v>304</v>
      </c>
      <c r="F34" s="55" t="s">
        <v>341</v>
      </c>
      <c r="G34" s="55" t="s">
        <v>320</v>
      </c>
      <c r="H34" s="55" t="s">
        <v>371</v>
      </c>
      <c r="I34" s="55" t="s">
        <v>322</v>
      </c>
      <c r="J34" s="55" t="s">
        <v>311</v>
      </c>
      <c r="K34" s="45">
        <f t="shared" si="3"/>
        <v>11900</v>
      </c>
      <c r="L34" s="45">
        <v>1785</v>
      </c>
      <c r="M34" s="45"/>
      <c r="N34" s="45"/>
      <c r="O34" s="45"/>
      <c r="P34" s="45">
        <v>10115</v>
      </c>
      <c r="Q34" s="99"/>
      <c r="R34" s="46">
        <v>42979</v>
      </c>
      <c r="S34" s="46">
        <v>43017</v>
      </c>
      <c r="T34" s="86">
        <f t="shared" ref="T34" si="5">IF(R34-S34&lt;0,(R34-S34)/30.41667,"–")</f>
        <v>-1.2493149315819254</v>
      </c>
      <c r="U34" s="38">
        <v>42705</v>
      </c>
      <c r="V34" s="46">
        <v>42759</v>
      </c>
      <c r="W34" s="86">
        <f t="shared" ref="W34" si="6">IF(U34-V34&lt;0,(U34-V34)/30.41667,"–")</f>
        <v>-1.7753422711953675</v>
      </c>
      <c r="X34" s="242" t="s">
        <v>372</v>
      </c>
      <c r="Y34" s="242" t="s">
        <v>373</v>
      </c>
      <c r="Z34" s="300">
        <v>1</v>
      </c>
      <c r="AA34" s="242"/>
      <c r="AB34" s="242"/>
      <c r="AC34" s="242"/>
      <c r="AD34" s="242"/>
      <c r="AE34" s="242">
        <f t="shared" ref="AE34" si="7">SUM(Z34:AD34)</f>
        <v>1</v>
      </c>
      <c r="AF34" s="242">
        <v>1</v>
      </c>
      <c r="AG34" s="241"/>
      <c r="AH34" s="241"/>
      <c r="AI34" s="241"/>
      <c r="AJ34" s="241"/>
      <c r="AK34" s="241"/>
      <c r="AL34" s="241"/>
      <c r="AM34" s="241"/>
      <c r="AN34" s="241"/>
      <c r="AO34" s="241"/>
      <c r="AP34" s="259"/>
      <c r="AQ34" s="259"/>
      <c r="AR34" s="259"/>
      <c r="AS34" s="259"/>
      <c r="AT34" s="259"/>
      <c r="AU34" s="259"/>
      <c r="AV34" s="259"/>
      <c r="AW34" s="259"/>
      <c r="AX34" s="259"/>
      <c r="AY34" s="261"/>
      <c r="AZ34" s="261"/>
      <c r="BA34" s="261"/>
      <c r="BB34" s="261"/>
      <c r="BC34" s="261"/>
      <c r="BD34" s="261"/>
      <c r="BE34" s="261"/>
      <c r="BF34" s="261"/>
      <c r="BG34" s="261"/>
    </row>
    <row r="35" spans="2:59" ht="15" customHeight="1" x14ac:dyDescent="0.25">
      <c r="B35" s="105" t="s">
        <v>374</v>
      </c>
      <c r="C35" s="98"/>
      <c r="D35" s="356" t="s">
        <v>375</v>
      </c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8"/>
      <c r="U35" s="190"/>
      <c r="V35" s="190"/>
      <c r="W35" s="190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  <c r="AH35" s="255"/>
      <c r="AI35" s="255"/>
      <c r="AJ35" s="255"/>
      <c r="AK35" s="255"/>
      <c r="AL35" s="255"/>
      <c r="AM35" s="255"/>
      <c r="AN35" s="241"/>
      <c r="AO35" s="255"/>
      <c r="AP35" s="256"/>
      <c r="AQ35" s="256"/>
      <c r="AR35" s="256"/>
      <c r="AS35" s="256"/>
      <c r="AT35" s="256"/>
      <c r="AU35" s="256"/>
      <c r="AV35" s="256"/>
      <c r="AW35" s="259"/>
      <c r="AX35" s="256"/>
      <c r="AY35" s="257"/>
      <c r="AZ35" s="257"/>
      <c r="BA35" s="257"/>
      <c r="BB35" s="257"/>
      <c r="BC35" s="257"/>
      <c r="BD35" s="257"/>
      <c r="BE35" s="257"/>
      <c r="BF35" s="261"/>
      <c r="BG35" s="257"/>
    </row>
    <row r="36" spans="2:59" ht="27.75" customHeight="1" x14ac:dyDescent="0.25">
      <c r="B36" s="92" t="s">
        <v>376</v>
      </c>
      <c r="C36" s="93"/>
      <c r="D36" s="43" t="s">
        <v>377</v>
      </c>
      <c r="E36" s="54" t="s">
        <v>294</v>
      </c>
      <c r="F36" s="55" t="s">
        <v>341</v>
      </c>
      <c r="G36" s="55" t="s">
        <v>378</v>
      </c>
      <c r="H36" s="55" t="s">
        <v>379</v>
      </c>
      <c r="I36" s="55" t="s">
        <v>298</v>
      </c>
      <c r="J36" s="55"/>
      <c r="K36" s="45">
        <f t="shared" si="3"/>
        <v>83796.47</v>
      </c>
      <c r="L36" s="45">
        <v>12569.47</v>
      </c>
      <c r="M36" s="45"/>
      <c r="N36" s="45"/>
      <c r="O36" s="45"/>
      <c r="P36" s="45">
        <v>71227</v>
      </c>
      <c r="Q36" s="99"/>
      <c r="R36" s="55">
        <v>2018</v>
      </c>
      <c r="S36" s="46"/>
      <c r="T36" s="86"/>
      <c r="U36" s="38">
        <v>43040</v>
      </c>
      <c r="V36" s="84"/>
      <c r="W36" s="42"/>
      <c r="X36" s="242" t="s">
        <v>380</v>
      </c>
      <c r="Y36" s="242" t="s">
        <v>381</v>
      </c>
      <c r="Z36" s="242"/>
      <c r="AA36" s="242"/>
      <c r="AB36" s="242"/>
      <c r="AC36" s="242"/>
      <c r="AD36" s="242"/>
      <c r="AE36" s="242">
        <f t="shared" ref="AE36:AE41" si="8">SUM(Z36:AD36)</f>
        <v>0</v>
      </c>
      <c r="AF36" s="265">
        <v>1</v>
      </c>
      <c r="AG36" s="241"/>
      <c r="AH36" s="241"/>
      <c r="AI36" s="241"/>
      <c r="AJ36" s="241"/>
      <c r="AK36" s="241"/>
      <c r="AL36" s="241"/>
      <c r="AM36" s="241"/>
      <c r="AN36" s="241"/>
      <c r="AO36" s="241"/>
      <c r="AP36" s="259"/>
      <c r="AQ36" s="259"/>
      <c r="AR36" s="259"/>
      <c r="AS36" s="259"/>
      <c r="AT36" s="259"/>
      <c r="AU36" s="259"/>
      <c r="AV36" s="259"/>
      <c r="AW36" s="259"/>
      <c r="AX36" s="259"/>
      <c r="AY36" s="261"/>
      <c r="AZ36" s="261"/>
      <c r="BA36" s="261"/>
      <c r="BB36" s="261"/>
      <c r="BC36" s="261"/>
      <c r="BD36" s="261"/>
      <c r="BE36" s="261"/>
      <c r="BF36" s="261"/>
      <c r="BG36" s="261"/>
    </row>
    <row r="37" spans="2:59" ht="25.5" customHeight="1" x14ac:dyDescent="0.25">
      <c r="B37" s="92" t="s">
        <v>382</v>
      </c>
      <c r="C37" s="93"/>
      <c r="D37" s="43" t="s">
        <v>383</v>
      </c>
      <c r="E37" s="54" t="s">
        <v>308</v>
      </c>
      <c r="F37" s="55" t="s">
        <v>341</v>
      </c>
      <c r="G37" s="55" t="s">
        <v>349</v>
      </c>
      <c r="H37" s="55" t="s">
        <v>379</v>
      </c>
      <c r="I37" s="55" t="s">
        <v>298</v>
      </c>
      <c r="J37" s="55" t="s">
        <v>311</v>
      </c>
      <c r="K37" s="45">
        <f t="shared" si="3"/>
        <v>34280.82</v>
      </c>
      <c r="L37" s="45">
        <v>6898.82</v>
      </c>
      <c r="M37" s="45"/>
      <c r="N37" s="45"/>
      <c r="O37" s="45"/>
      <c r="P37" s="45">
        <v>27382</v>
      </c>
      <c r="Q37" s="99"/>
      <c r="R37" s="55">
        <v>2019</v>
      </c>
      <c r="S37" s="46"/>
      <c r="T37" s="86"/>
      <c r="U37" s="38">
        <v>42947</v>
      </c>
      <c r="V37" s="84"/>
      <c r="W37" s="42"/>
      <c r="X37" s="242" t="s">
        <v>384</v>
      </c>
      <c r="Y37" s="242" t="s">
        <v>385</v>
      </c>
      <c r="Z37" s="242"/>
      <c r="AA37" s="242"/>
      <c r="AB37" s="242"/>
      <c r="AC37" s="242"/>
      <c r="AD37" s="242"/>
      <c r="AE37" s="242">
        <f t="shared" si="8"/>
        <v>0</v>
      </c>
      <c r="AF37" s="242">
        <v>0.51</v>
      </c>
      <c r="AG37" s="241"/>
      <c r="AH37" s="241"/>
      <c r="AI37" s="241"/>
      <c r="AJ37" s="241"/>
      <c r="AK37" s="241"/>
      <c r="AL37" s="241"/>
      <c r="AM37" s="241"/>
      <c r="AN37" s="241"/>
      <c r="AO37" s="241"/>
      <c r="AP37" s="259"/>
      <c r="AQ37" s="259"/>
      <c r="AR37" s="259"/>
      <c r="AS37" s="259"/>
      <c r="AT37" s="259"/>
      <c r="AU37" s="259"/>
      <c r="AV37" s="259"/>
      <c r="AW37" s="259"/>
      <c r="AX37" s="259"/>
      <c r="AY37" s="261"/>
      <c r="AZ37" s="261"/>
      <c r="BA37" s="261"/>
      <c r="BB37" s="261"/>
      <c r="BC37" s="261"/>
      <c r="BD37" s="261"/>
      <c r="BE37" s="261"/>
      <c r="BF37" s="261"/>
      <c r="BG37" s="261"/>
    </row>
    <row r="38" spans="2:59" ht="24.75" customHeight="1" x14ac:dyDescent="0.25">
      <c r="B38" s="92" t="s">
        <v>386</v>
      </c>
      <c r="C38" s="93"/>
      <c r="D38" s="43" t="s">
        <v>387</v>
      </c>
      <c r="E38" s="54" t="s">
        <v>328</v>
      </c>
      <c r="F38" s="55" t="s">
        <v>341</v>
      </c>
      <c r="G38" s="55" t="s">
        <v>356</v>
      </c>
      <c r="H38" s="55" t="s">
        <v>379</v>
      </c>
      <c r="I38" s="55" t="s">
        <v>298</v>
      </c>
      <c r="J38" s="55" t="s">
        <v>311</v>
      </c>
      <c r="K38" s="45">
        <f t="shared" si="3"/>
        <v>100770</v>
      </c>
      <c r="L38" s="45">
        <v>20280</v>
      </c>
      <c r="M38" s="45"/>
      <c r="N38" s="45"/>
      <c r="O38" s="45"/>
      <c r="P38" s="45">
        <v>80490</v>
      </c>
      <c r="Q38" s="99"/>
      <c r="R38" s="55">
        <v>2020</v>
      </c>
      <c r="S38" s="46"/>
      <c r="T38" s="86"/>
      <c r="U38" s="38">
        <v>43586</v>
      </c>
      <c r="V38" s="84"/>
      <c r="W38" s="42"/>
      <c r="X38" s="242" t="s">
        <v>384</v>
      </c>
      <c r="Y38" s="242" t="s">
        <v>385</v>
      </c>
      <c r="Z38" s="242"/>
      <c r="AA38" s="242"/>
      <c r="AB38" s="242"/>
      <c r="AC38" s="242"/>
      <c r="AD38" s="242"/>
      <c r="AE38" s="242">
        <f t="shared" si="8"/>
        <v>0</v>
      </c>
      <c r="AF38" s="242">
        <v>0.55000000000000004</v>
      </c>
      <c r="AG38" s="241"/>
      <c r="AH38" s="241"/>
      <c r="AI38" s="241"/>
      <c r="AJ38" s="241"/>
      <c r="AK38" s="241"/>
      <c r="AL38" s="241"/>
      <c r="AM38" s="241"/>
      <c r="AN38" s="241"/>
      <c r="AO38" s="241"/>
      <c r="AP38" s="259"/>
      <c r="AQ38" s="259"/>
      <c r="AR38" s="259"/>
      <c r="AS38" s="259"/>
      <c r="AT38" s="259"/>
      <c r="AU38" s="259"/>
      <c r="AV38" s="259"/>
      <c r="AW38" s="259"/>
      <c r="AX38" s="259"/>
      <c r="AY38" s="261"/>
      <c r="AZ38" s="261"/>
      <c r="BA38" s="261"/>
      <c r="BB38" s="261"/>
      <c r="BC38" s="261"/>
      <c r="BD38" s="261"/>
      <c r="BE38" s="261"/>
      <c r="BF38" s="261"/>
      <c r="BG38" s="261"/>
    </row>
    <row r="39" spans="2:59" ht="24" customHeight="1" x14ac:dyDescent="0.25">
      <c r="B39" s="92" t="s">
        <v>388</v>
      </c>
      <c r="C39" s="93"/>
      <c r="D39" s="43" t="s">
        <v>389</v>
      </c>
      <c r="E39" s="54" t="s">
        <v>304</v>
      </c>
      <c r="F39" s="55" t="s">
        <v>341</v>
      </c>
      <c r="G39" s="55" t="s">
        <v>390</v>
      </c>
      <c r="H39" s="55" t="s">
        <v>379</v>
      </c>
      <c r="I39" s="55" t="s">
        <v>298</v>
      </c>
      <c r="J39" s="55"/>
      <c r="K39" s="45">
        <f t="shared" si="3"/>
        <v>139304.47</v>
      </c>
      <c r="L39" s="45">
        <v>28035.47</v>
      </c>
      <c r="M39" s="45"/>
      <c r="N39" s="45"/>
      <c r="O39" s="45"/>
      <c r="P39" s="45">
        <v>111269</v>
      </c>
      <c r="Q39" s="99"/>
      <c r="R39" s="46">
        <v>43466</v>
      </c>
      <c r="S39" s="46">
        <v>43097</v>
      </c>
      <c r="T39" s="86" t="str">
        <f t="shared" ref="T39" si="9">IF(R39-S39&lt;0,(R39-S39)/30.41667,"–")</f>
        <v>–</v>
      </c>
      <c r="U39" s="38">
        <v>42978</v>
      </c>
      <c r="V39" s="46">
        <v>42921</v>
      </c>
      <c r="W39" s="42" t="str">
        <f t="shared" ref="W39" si="10">IF(U39-V39&lt;0,(U39-V39)/30.41667,"–")</f>
        <v>–</v>
      </c>
      <c r="X39" s="242" t="s">
        <v>384</v>
      </c>
      <c r="Y39" s="242" t="s">
        <v>385</v>
      </c>
      <c r="Z39" s="300">
        <v>1.4</v>
      </c>
      <c r="AA39" s="242"/>
      <c r="AB39" s="242"/>
      <c r="AC39" s="242"/>
      <c r="AD39" s="242"/>
      <c r="AE39" s="242">
        <f t="shared" si="8"/>
        <v>1.4</v>
      </c>
      <c r="AF39" s="242">
        <v>1</v>
      </c>
      <c r="AG39" s="241"/>
      <c r="AH39" s="241"/>
      <c r="AI39" s="241"/>
      <c r="AJ39" s="241"/>
      <c r="AK39" s="241"/>
      <c r="AL39" s="241"/>
      <c r="AM39" s="241"/>
      <c r="AN39" s="241"/>
      <c r="AO39" s="241"/>
      <c r="AP39" s="259"/>
      <c r="AQ39" s="259"/>
      <c r="AR39" s="259"/>
      <c r="AS39" s="259"/>
      <c r="AT39" s="259"/>
      <c r="AU39" s="259"/>
      <c r="AV39" s="259"/>
      <c r="AW39" s="259"/>
      <c r="AX39" s="259"/>
      <c r="AY39" s="261"/>
      <c r="AZ39" s="261"/>
      <c r="BA39" s="261"/>
      <c r="BB39" s="261"/>
      <c r="BC39" s="261"/>
      <c r="BD39" s="261"/>
      <c r="BE39" s="261"/>
      <c r="BF39" s="261"/>
      <c r="BG39" s="261"/>
    </row>
    <row r="40" spans="2:59" ht="15" customHeight="1" x14ac:dyDescent="0.25">
      <c r="B40" s="105" t="s">
        <v>391</v>
      </c>
      <c r="C40" s="100"/>
      <c r="D40" s="382" t="s">
        <v>392</v>
      </c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4"/>
      <c r="U40" s="146"/>
      <c r="V40" s="146"/>
      <c r="W40" s="146"/>
      <c r="X40" s="254"/>
      <c r="Y40" s="254"/>
      <c r="Z40" s="254"/>
      <c r="AA40" s="254"/>
      <c r="AB40" s="254"/>
      <c r="AC40" s="254"/>
      <c r="AD40" s="254"/>
      <c r="AE40" s="254"/>
      <c r="AF40" s="254"/>
      <c r="AG40" s="255"/>
      <c r="AH40" s="255"/>
      <c r="AI40" s="255"/>
      <c r="AJ40" s="255"/>
      <c r="AK40" s="255"/>
      <c r="AL40" s="255"/>
      <c r="AM40" s="255"/>
      <c r="AN40" s="241"/>
      <c r="AO40" s="255"/>
      <c r="AP40" s="256"/>
      <c r="AQ40" s="256"/>
      <c r="AR40" s="256"/>
      <c r="AS40" s="256"/>
      <c r="AT40" s="256"/>
      <c r="AU40" s="256"/>
      <c r="AV40" s="256"/>
      <c r="AW40" s="259"/>
      <c r="AX40" s="256"/>
      <c r="AY40" s="257"/>
      <c r="AZ40" s="257"/>
      <c r="BA40" s="257"/>
      <c r="BB40" s="257"/>
      <c r="BC40" s="257"/>
      <c r="BD40" s="257"/>
      <c r="BE40" s="257"/>
      <c r="BF40" s="261"/>
      <c r="BG40" s="257"/>
    </row>
    <row r="41" spans="2:59" ht="26.25" customHeight="1" x14ac:dyDescent="0.25">
      <c r="B41" s="92" t="s">
        <v>393</v>
      </c>
      <c r="C41" s="93"/>
      <c r="D41" s="43" t="s">
        <v>394</v>
      </c>
      <c r="E41" s="54" t="s">
        <v>304</v>
      </c>
      <c r="F41" s="55" t="s">
        <v>341</v>
      </c>
      <c r="G41" s="55" t="s">
        <v>320</v>
      </c>
      <c r="H41" s="55" t="s">
        <v>395</v>
      </c>
      <c r="I41" s="55" t="s">
        <v>298</v>
      </c>
      <c r="J41" s="55" t="s">
        <v>311</v>
      </c>
      <c r="K41" s="45">
        <f t="shared" si="3"/>
        <v>798964</v>
      </c>
      <c r="L41" s="45">
        <v>119845</v>
      </c>
      <c r="M41" s="45"/>
      <c r="N41" s="45"/>
      <c r="O41" s="45"/>
      <c r="P41" s="45">
        <v>679119</v>
      </c>
      <c r="Q41" s="99"/>
      <c r="R41" s="55">
        <v>2018</v>
      </c>
      <c r="S41" s="46"/>
      <c r="T41" s="86"/>
      <c r="U41" s="38">
        <v>43070</v>
      </c>
      <c r="V41" s="84"/>
      <c r="W41" s="85"/>
      <c r="X41" s="242" t="s">
        <v>396</v>
      </c>
      <c r="Y41" s="242" t="s">
        <v>397</v>
      </c>
      <c r="Z41" s="242"/>
      <c r="AA41" s="242"/>
      <c r="AB41" s="242"/>
      <c r="AC41" s="242"/>
      <c r="AD41" s="242"/>
      <c r="AE41" s="242">
        <f t="shared" si="8"/>
        <v>0</v>
      </c>
      <c r="AF41" s="242">
        <v>2</v>
      </c>
      <c r="AG41" s="241"/>
      <c r="AH41" s="241"/>
      <c r="AI41" s="241"/>
      <c r="AJ41" s="241"/>
      <c r="AK41" s="241"/>
      <c r="AL41" s="241"/>
      <c r="AM41" s="241"/>
      <c r="AN41" s="241"/>
      <c r="AO41" s="241"/>
      <c r="AP41" s="259"/>
      <c r="AQ41" s="259"/>
      <c r="AR41" s="259"/>
      <c r="AS41" s="259"/>
      <c r="AT41" s="259"/>
      <c r="AU41" s="259"/>
      <c r="AV41" s="259"/>
      <c r="AW41" s="259"/>
      <c r="AX41" s="259"/>
      <c r="AY41" s="261"/>
      <c r="AZ41" s="261"/>
      <c r="BA41" s="261"/>
      <c r="BB41" s="261"/>
      <c r="BC41" s="261"/>
      <c r="BD41" s="261"/>
      <c r="BE41" s="261"/>
      <c r="BF41" s="261"/>
      <c r="BG41" s="261"/>
    </row>
    <row r="42" spans="2:59" x14ac:dyDescent="0.25">
      <c r="B42" s="101" t="s">
        <v>662</v>
      </c>
      <c r="C42" s="102"/>
      <c r="D42" s="374" t="s">
        <v>398</v>
      </c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6"/>
      <c r="U42" s="138"/>
      <c r="V42" s="138"/>
      <c r="W42" s="138"/>
      <c r="X42" s="254"/>
      <c r="Y42" s="254"/>
      <c r="Z42" s="254"/>
      <c r="AA42" s="254"/>
      <c r="AB42" s="254"/>
      <c r="AC42" s="254"/>
      <c r="AD42" s="254"/>
      <c r="AE42" s="254"/>
      <c r="AF42" s="254"/>
      <c r="AG42" s="255"/>
      <c r="AH42" s="255"/>
      <c r="AI42" s="255"/>
      <c r="AJ42" s="255"/>
      <c r="AK42" s="255"/>
      <c r="AL42" s="255"/>
      <c r="AM42" s="255"/>
      <c r="AN42" s="241"/>
      <c r="AO42" s="255"/>
      <c r="AP42" s="256"/>
      <c r="AQ42" s="256"/>
      <c r="AR42" s="256"/>
      <c r="AS42" s="256"/>
      <c r="AT42" s="256"/>
      <c r="AU42" s="256"/>
      <c r="AV42" s="256"/>
      <c r="AW42" s="259"/>
      <c r="AX42" s="256"/>
      <c r="AY42" s="257"/>
      <c r="AZ42" s="257"/>
      <c r="BA42" s="257"/>
      <c r="BB42" s="257"/>
      <c r="BC42" s="257"/>
      <c r="BD42" s="257"/>
      <c r="BE42" s="257"/>
      <c r="BF42" s="261"/>
      <c r="BG42" s="257"/>
    </row>
    <row r="43" spans="2:59" x14ac:dyDescent="0.25">
      <c r="B43" s="105" t="s">
        <v>399</v>
      </c>
      <c r="C43" s="100"/>
      <c r="D43" s="365" t="s">
        <v>400</v>
      </c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7"/>
      <c r="U43" s="139"/>
      <c r="V43" s="139"/>
      <c r="W43" s="139"/>
      <c r="X43" s="254"/>
      <c r="Y43" s="254"/>
      <c r="Z43" s="254"/>
      <c r="AA43" s="254"/>
      <c r="AB43" s="254"/>
      <c r="AC43" s="254"/>
      <c r="AD43" s="254"/>
      <c r="AE43" s="254"/>
      <c r="AF43" s="254"/>
      <c r="AG43" s="255"/>
      <c r="AH43" s="255"/>
      <c r="AI43" s="255"/>
      <c r="AJ43" s="255"/>
      <c r="AK43" s="255"/>
      <c r="AL43" s="255"/>
      <c r="AM43" s="255"/>
      <c r="AN43" s="241"/>
      <c r="AO43" s="255"/>
      <c r="AP43" s="256"/>
      <c r="AQ43" s="256"/>
      <c r="AR43" s="256"/>
      <c r="AS43" s="256"/>
      <c r="AT43" s="256"/>
      <c r="AU43" s="256"/>
      <c r="AV43" s="256"/>
      <c r="AW43" s="259"/>
      <c r="AX43" s="256"/>
      <c r="AY43" s="257"/>
      <c r="AZ43" s="257"/>
      <c r="BA43" s="257"/>
      <c r="BB43" s="257"/>
      <c r="BC43" s="257"/>
      <c r="BD43" s="257"/>
      <c r="BE43" s="257"/>
      <c r="BF43" s="261"/>
      <c r="BG43" s="257"/>
    </row>
    <row r="44" spans="2:59" ht="29.25" customHeight="1" x14ac:dyDescent="0.25">
      <c r="B44" s="92" t="s">
        <v>401</v>
      </c>
      <c r="C44" s="93"/>
      <c r="D44" s="77" t="s">
        <v>402</v>
      </c>
      <c r="E44" s="55" t="s">
        <v>304</v>
      </c>
      <c r="F44" s="55" t="s">
        <v>403</v>
      </c>
      <c r="G44" s="55" t="s">
        <v>320</v>
      </c>
      <c r="H44" s="54" t="s">
        <v>404</v>
      </c>
      <c r="I44" s="55" t="s">
        <v>298</v>
      </c>
      <c r="J44" s="55" t="s">
        <v>311</v>
      </c>
      <c r="K44" s="45">
        <f t="shared" ref="K44:K50" si="11">SUM(L44:Q44)</f>
        <v>588358</v>
      </c>
      <c r="L44" s="45">
        <v>88253.84</v>
      </c>
      <c r="M44" s="45"/>
      <c r="N44" s="45"/>
      <c r="O44" s="45"/>
      <c r="P44" s="45">
        <v>500104.16</v>
      </c>
      <c r="Q44" s="99"/>
      <c r="R44" s="55">
        <v>2019</v>
      </c>
      <c r="S44" s="46"/>
      <c r="T44" s="86"/>
      <c r="U44" s="38">
        <v>42795</v>
      </c>
      <c r="V44" s="46">
        <v>42835</v>
      </c>
      <c r="W44" s="86">
        <f t="shared" ref="W44:W45" si="12">IF(U44-V44&lt;0,(U44-V44)/30.41667,"–")</f>
        <v>-1.3150683490336057</v>
      </c>
      <c r="X44" s="242" t="s">
        <v>405</v>
      </c>
      <c r="Y44" s="242" t="s">
        <v>406</v>
      </c>
      <c r="Z44" s="242"/>
      <c r="AA44" s="242"/>
      <c r="AB44" s="242"/>
      <c r="AC44" s="242"/>
      <c r="AD44" s="242"/>
      <c r="AE44" s="242">
        <f t="shared" ref="AE44:AE45" si="13">SUM(Z44:AD44)</f>
        <v>0</v>
      </c>
      <c r="AF44" s="242">
        <v>1</v>
      </c>
      <c r="AG44" s="241"/>
      <c r="AH44" s="241"/>
      <c r="AI44" s="241"/>
      <c r="AJ44" s="241"/>
      <c r="AK44" s="241"/>
      <c r="AL44" s="241"/>
      <c r="AM44" s="241"/>
      <c r="AN44" s="241"/>
      <c r="AO44" s="241"/>
      <c r="AP44" s="259"/>
      <c r="AQ44" s="259"/>
      <c r="AR44" s="259"/>
      <c r="AS44" s="259"/>
      <c r="AT44" s="259"/>
      <c r="AU44" s="259"/>
      <c r="AV44" s="259"/>
      <c r="AW44" s="259"/>
      <c r="AX44" s="259"/>
      <c r="AY44" s="261"/>
      <c r="AZ44" s="261"/>
      <c r="BA44" s="261"/>
      <c r="BB44" s="261"/>
      <c r="BC44" s="261"/>
      <c r="BD44" s="261"/>
      <c r="BE44" s="261"/>
      <c r="BF44" s="261"/>
      <c r="BG44" s="261"/>
    </row>
    <row r="45" spans="2:59" ht="27" customHeight="1" x14ac:dyDescent="0.25">
      <c r="B45" s="92" t="s">
        <v>407</v>
      </c>
      <c r="C45" s="93"/>
      <c r="D45" s="48" t="s">
        <v>408</v>
      </c>
      <c r="E45" s="53" t="s">
        <v>328</v>
      </c>
      <c r="F45" s="53" t="s">
        <v>403</v>
      </c>
      <c r="G45" s="53" t="s">
        <v>356</v>
      </c>
      <c r="H45" s="53" t="s">
        <v>404</v>
      </c>
      <c r="I45" s="53" t="s">
        <v>298</v>
      </c>
      <c r="J45" s="53" t="s">
        <v>311</v>
      </c>
      <c r="K45" s="45">
        <f t="shared" si="11"/>
        <v>515526.52</v>
      </c>
      <c r="L45" s="49">
        <v>97732.29</v>
      </c>
      <c r="M45" s="49"/>
      <c r="N45" s="49"/>
      <c r="O45" s="49">
        <v>226000</v>
      </c>
      <c r="P45" s="49">
        <v>191794.23</v>
      </c>
      <c r="Q45" s="99"/>
      <c r="R45" s="53">
        <v>2018</v>
      </c>
      <c r="S45" s="46"/>
      <c r="T45" s="86"/>
      <c r="U45" s="39">
        <v>42795</v>
      </c>
      <c r="V45" s="46">
        <v>42809</v>
      </c>
      <c r="W45" s="86">
        <f t="shared" si="12"/>
        <v>-0.46027392216176194</v>
      </c>
      <c r="X45" s="242" t="s">
        <v>405</v>
      </c>
      <c r="Y45" s="242" t="s">
        <v>406</v>
      </c>
      <c r="Z45" s="242"/>
      <c r="AA45" s="242"/>
      <c r="AB45" s="242"/>
      <c r="AC45" s="242"/>
      <c r="AD45" s="242"/>
      <c r="AE45" s="242">
        <f t="shared" si="13"/>
        <v>0</v>
      </c>
      <c r="AF45" s="242">
        <v>1</v>
      </c>
      <c r="AG45" s="241"/>
      <c r="AH45" s="241"/>
      <c r="AI45" s="241"/>
      <c r="AJ45" s="241"/>
      <c r="AK45" s="241"/>
      <c r="AL45" s="241"/>
      <c r="AM45" s="241"/>
      <c r="AN45" s="241"/>
      <c r="AO45" s="241"/>
      <c r="AP45" s="259"/>
      <c r="AQ45" s="259"/>
      <c r="AR45" s="259"/>
      <c r="AS45" s="259"/>
      <c r="AT45" s="259"/>
      <c r="AU45" s="259"/>
      <c r="AV45" s="259"/>
      <c r="AW45" s="259"/>
      <c r="AX45" s="259"/>
      <c r="AY45" s="261"/>
      <c r="AZ45" s="261"/>
      <c r="BA45" s="261"/>
      <c r="BB45" s="261"/>
      <c r="BC45" s="261"/>
      <c r="BD45" s="261"/>
      <c r="BE45" s="261"/>
      <c r="BF45" s="261"/>
      <c r="BG45" s="261"/>
    </row>
    <row r="46" spans="2:59" x14ac:dyDescent="0.25">
      <c r="B46" s="105" t="s">
        <v>409</v>
      </c>
      <c r="C46" s="100"/>
      <c r="D46" s="365" t="s">
        <v>410</v>
      </c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7"/>
      <c r="U46" s="139"/>
      <c r="V46" s="139"/>
      <c r="W46" s="139"/>
      <c r="X46" s="254"/>
      <c r="Y46" s="254"/>
      <c r="Z46" s="254"/>
      <c r="AA46" s="254"/>
      <c r="AB46" s="254"/>
      <c r="AC46" s="254"/>
      <c r="AD46" s="254"/>
      <c r="AE46" s="254"/>
      <c r="AF46" s="254"/>
      <c r="AG46" s="255"/>
      <c r="AH46" s="255"/>
      <c r="AI46" s="255"/>
      <c r="AJ46" s="255"/>
      <c r="AK46" s="255"/>
      <c r="AL46" s="255"/>
      <c r="AM46" s="255"/>
      <c r="AN46" s="241"/>
      <c r="AO46" s="255"/>
      <c r="AP46" s="256"/>
      <c r="AQ46" s="256"/>
      <c r="AR46" s="256"/>
      <c r="AS46" s="256"/>
      <c r="AT46" s="256"/>
      <c r="AU46" s="256"/>
      <c r="AV46" s="256"/>
      <c r="AW46" s="259"/>
      <c r="AX46" s="256"/>
      <c r="AY46" s="257"/>
      <c r="AZ46" s="257"/>
      <c r="BA46" s="257"/>
      <c r="BB46" s="257"/>
      <c r="BC46" s="257"/>
      <c r="BD46" s="257"/>
      <c r="BE46" s="257"/>
      <c r="BF46" s="261"/>
      <c r="BG46" s="257"/>
    </row>
    <row r="47" spans="2:59" ht="87.75" customHeight="1" x14ac:dyDescent="0.25">
      <c r="B47" s="92" t="s">
        <v>411</v>
      </c>
      <c r="C47" s="93"/>
      <c r="D47" s="44" t="s">
        <v>412</v>
      </c>
      <c r="E47" s="54" t="s">
        <v>304</v>
      </c>
      <c r="F47" s="54" t="s">
        <v>403</v>
      </c>
      <c r="G47" s="54" t="s">
        <v>320</v>
      </c>
      <c r="H47" s="55" t="s">
        <v>413</v>
      </c>
      <c r="I47" s="54" t="s">
        <v>298</v>
      </c>
      <c r="J47" s="54" t="s">
        <v>311</v>
      </c>
      <c r="K47" s="45">
        <f t="shared" si="11"/>
        <v>464475</v>
      </c>
      <c r="L47" s="60">
        <v>69671</v>
      </c>
      <c r="M47" s="60"/>
      <c r="N47" s="60"/>
      <c r="O47" s="60"/>
      <c r="P47" s="60">
        <v>394804</v>
      </c>
      <c r="Q47" s="99"/>
      <c r="R47" s="54">
        <v>2019</v>
      </c>
      <c r="S47" s="46"/>
      <c r="T47" s="86"/>
      <c r="U47" s="40">
        <v>42856</v>
      </c>
      <c r="V47" s="46">
        <v>42908</v>
      </c>
      <c r="W47" s="86">
        <f t="shared" ref="W47:W49" si="14">IF(U47-V47&lt;0,(U47-V47)/30.41667,"–")</f>
        <v>-1.7095888537436872</v>
      </c>
      <c r="X47" s="242" t="s">
        <v>414</v>
      </c>
      <c r="Y47" s="242" t="s">
        <v>415</v>
      </c>
      <c r="Z47" s="242"/>
      <c r="AA47" s="242"/>
      <c r="AB47" s="242"/>
      <c r="AC47" s="242"/>
      <c r="AD47" s="242"/>
      <c r="AE47" s="242">
        <f t="shared" ref="AE47:AE50" si="15">SUM(Z47:AD47)</f>
        <v>0</v>
      </c>
      <c r="AF47" s="242">
        <v>1</v>
      </c>
      <c r="AG47" s="241" t="s">
        <v>416</v>
      </c>
      <c r="AH47" s="241" t="s">
        <v>417</v>
      </c>
      <c r="AI47" s="241"/>
      <c r="AJ47" s="241"/>
      <c r="AK47" s="241"/>
      <c r="AL47" s="241"/>
      <c r="AM47" s="241"/>
      <c r="AN47" s="241">
        <f t="shared" si="1"/>
        <v>0</v>
      </c>
      <c r="AO47" s="241">
        <v>7600</v>
      </c>
      <c r="AP47" s="259"/>
      <c r="AQ47" s="259"/>
      <c r="AR47" s="259"/>
      <c r="AS47" s="259"/>
      <c r="AT47" s="259"/>
      <c r="AU47" s="259"/>
      <c r="AV47" s="259"/>
      <c r="AW47" s="259"/>
      <c r="AX47" s="259"/>
      <c r="AY47" s="261"/>
      <c r="AZ47" s="261"/>
      <c r="BA47" s="261"/>
      <c r="BB47" s="261"/>
      <c r="BC47" s="261"/>
      <c r="BD47" s="261"/>
      <c r="BE47" s="261"/>
      <c r="BF47" s="261"/>
      <c r="BG47" s="261"/>
    </row>
    <row r="48" spans="2:59" ht="40.5" customHeight="1" x14ac:dyDescent="0.25">
      <c r="B48" s="92" t="s">
        <v>418</v>
      </c>
      <c r="C48" s="93"/>
      <c r="D48" s="51" t="s">
        <v>419</v>
      </c>
      <c r="E48" s="55" t="s">
        <v>294</v>
      </c>
      <c r="F48" s="55" t="s">
        <v>403</v>
      </c>
      <c r="G48" s="55" t="s">
        <v>420</v>
      </c>
      <c r="H48" s="55" t="s">
        <v>413</v>
      </c>
      <c r="I48" s="55" t="s">
        <v>298</v>
      </c>
      <c r="J48" s="55"/>
      <c r="K48" s="45">
        <f t="shared" si="11"/>
        <v>297327.13</v>
      </c>
      <c r="L48" s="45">
        <v>44599.07</v>
      </c>
      <c r="M48" s="45"/>
      <c r="N48" s="45"/>
      <c r="O48" s="45"/>
      <c r="P48" s="45">
        <v>252728.06</v>
      </c>
      <c r="Q48" s="99"/>
      <c r="R48" s="55">
        <v>2019</v>
      </c>
      <c r="S48" s="46"/>
      <c r="T48" s="86"/>
      <c r="U48" s="38">
        <v>42887</v>
      </c>
      <c r="V48" s="46">
        <v>43006</v>
      </c>
      <c r="W48" s="86">
        <f t="shared" si="14"/>
        <v>-3.9123283383749765</v>
      </c>
      <c r="X48" s="242" t="s">
        <v>414</v>
      </c>
      <c r="Y48" s="242" t="s">
        <v>415</v>
      </c>
      <c r="Z48" s="242"/>
      <c r="AA48" s="242"/>
      <c r="AB48" s="242"/>
      <c r="AC48" s="242"/>
      <c r="AD48" s="242"/>
      <c r="AE48" s="242">
        <f t="shared" si="15"/>
        <v>0</v>
      </c>
      <c r="AF48" s="242">
        <v>1</v>
      </c>
      <c r="AG48" s="241" t="s">
        <v>416</v>
      </c>
      <c r="AH48" s="241" t="s">
        <v>417</v>
      </c>
      <c r="AI48" s="241"/>
      <c r="AJ48" s="241"/>
      <c r="AK48" s="241"/>
      <c r="AL48" s="241"/>
      <c r="AM48" s="241"/>
      <c r="AN48" s="241">
        <f t="shared" si="1"/>
        <v>0</v>
      </c>
      <c r="AO48" s="241">
        <v>150</v>
      </c>
      <c r="AP48" s="259"/>
      <c r="AQ48" s="259"/>
      <c r="AR48" s="259"/>
      <c r="AS48" s="259"/>
      <c r="AT48" s="259"/>
      <c r="AU48" s="259"/>
      <c r="AV48" s="259"/>
      <c r="AW48" s="259"/>
      <c r="AX48" s="259"/>
      <c r="AY48" s="261"/>
      <c r="AZ48" s="261"/>
      <c r="BA48" s="261"/>
      <c r="BB48" s="261"/>
      <c r="BC48" s="261"/>
      <c r="BD48" s="261"/>
      <c r="BE48" s="261"/>
      <c r="BF48" s="261"/>
      <c r="BG48" s="261"/>
    </row>
    <row r="49" spans="2:59" ht="53.25" customHeight="1" x14ac:dyDescent="0.25">
      <c r="B49" s="92" t="s">
        <v>421</v>
      </c>
      <c r="C49" s="93"/>
      <c r="D49" s="51" t="s">
        <v>422</v>
      </c>
      <c r="E49" s="55" t="s">
        <v>308</v>
      </c>
      <c r="F49" s="55" t="s">
        <v>403</v>
      </c>
      <c r="G49" s="55" t="s">
        <v>309</v>
      </c>
      <c r="H49" s="55" t="s">
        <v>413</v>
      </c>
      <c r="I49" s="55" t="s">
        <v>298</v>
      </c>
      <c r="J49" s="55" t="s">
        <v>311</v>
      </c>
      <c r="K49" s="45">
        <f t="shared" si="11"/>
        <v>114301</v>
      </c>
      <c r="L49" s="45">
        <v>17146</v>
      </c>
      <c r="M49" s="45"/>
      <c r="N49" s="45"/>
      <c r="O49" s="45"/>
      <c r="P49" s="45">
        <v>97155</v>
      </c>
      <c r="Q49" s="99"/>
      <c r="R49" s="55">
        <v>2018</v>
      </c>
      <c r="S49" s="46"/>
      <c r="T49" s="86"/>
      <c r="U49" s="38">
        <v>42826</v>
      </c>
      <c r="V49" s="46">
        <v>42967</v>
      </c>
      <c r="W49" s="86">
        <f t="shared" si="14"/>
        <v>-4.6356159303434596</v>
      </c>
      <c r="X49" s="242" t="s">
        <v>414</v>
      </c>
      <c r="Y49" s="242" t="s">
        <v>415</v>
      </c>
      <c r="Z49" s="242"/>
      <c r="AA49" s="242"/>
      <c r="AB49" s="242"/>
      <c r="AC49" s="242"/>
      <c r="AD49" s="242"/>
      <c r="AE49" s="242">
        <f t="shared" si="15"/>
        <v>0</v>
      </c>
      <c r="AF49" s="242">
        <v>1</v>
      </c>
      <c r="AG49" s="241" t="s">
        <v>416</v>
      </c>
      <c r="AH49" s="241" t="s">
        <v>417</v>
      </c>
      <c r="AI49" s="241"/>
      <c r="AJ49" s="241"/>
      <c r="AK49" s="241"/>
      <c r="AL49" s="241"/>
      <c r="AM49" s="241"/>
      <c r="AN49" s="241">
        <f t="shared" si="1"/>
        <v>0</v>
      </c>
      <c r="AO49" s="241">
        <v>100</v>
      </c>
      <c r="AP49" s="259"/>
      <c r="AQ49" s="259"/>
      <c r="AR49" s="259"/>
      <c r="AS49" s="259"/>
      <c r="AT49" s="259"/>
      <c r="AU49" s="259"/>
      <c r="AV49" s="259"/>
      <c r="AW49" s="259"/>
      <c r="AX49" s="259"/>
      <c r="AY49" s="261"/>
      <c r="AZ49" s="261"/>
      <c r="BA49" s="261"/>
      <c r="BB49" s="261"/>
      <c r="BC49" s="261"/>
      <c r="BD49" s="261"/>
      <c r="BE49" s="261"/>
      <c r="BF49" s="261"/>
      <c r="BG49" s="261"/>
    </row>
    <row r="50" spans="2:59" ht="29.25" customHeight="1" x14ac:dyDescent="0.25">
      <c r="B50" s="92" t="s">
        <v>424</v>
      </c>
      <c r="C50" s="93"/>
      <c r="D50" s="51" t="s">
        <v>425</v>
      </c>
      <c r="E50" s="55" t="s">
        <v>328</v>
      </c>
      <c r="F50" s="55" t="s">
        <v>403</v>
      </c>
      <c r="G50" s="55" t="s">
        <v>426</v>
      </c>
      <c r="H50" s="55" t="s">
        <v>413</v>
      </c>
      <c r="I50" s="55" t="s">
        <v>298</v>
      </c>
      <c r="J50" s="55"/>
      <c r="K50" s="45">
        <f t="shared" si="11"/>
        <v>335993</v>
      </c>
      <c r="L50" s="45">
        <v>50398.95</v>
      </c>
      <c r="M50" s="45"/>
      <c r="N50" s="45"/>
      <c r="O50" s="45"/>
      <c r="P50" s="49">
        <v>285594.05</v>
      </c>
      <c r="Q50" s="99"/>
      <c r="R50" s="191">
        <v>2019</v>
      </c>
      <c r="S50" s="46"/>
      <c r="T50" s="86"/>
      <c r="U50" s="38">
        <v>42917</v>
      </c>
      <c r="V50" s="46"/>
      <c r="W50" s="86"/>
      <c r="X50" s="242" t="s">
        <v>414</v>
      </c>
      <c r="Y50" s="242" t="s">
        <v>415</v>
      </c>
      <c r="Z50" s="242"/>
      <c r="AA50" s="242"/>
      <c r="AB50" s="242"/>
      <c r="AC50" s="242"/>
      <c r="AD50" s="242"/>
      <c r="AE50" s="242">
        <f t="shared" si="15"/>
        <v>0</v>
      </c>
      <c r="AF50" s="242">
        <v>1</v>
      </c>
      <c r="AG50" s="241" t="s">
        <v>416</v>
      </c>
      <c r="AH50" s="241" t="s">
        <v>417</v>
      </c>
      <c r="AI50" s="241"/>
      <c r="AJ50" s="241"/>
      <c r="AK50" s="241"/>
      <c r="AL50" s="241"/>
      <c r="AM50" s="241"/>
      <c r="AN50" s="241">
        <f t="shared" si="1"/>
        <v>0</v>
      </c>
      <c r="AO50" s="241">
        <v>1000</v>
      </c>
      <c r="AP50" s="259"/>
      <c r="AQ50" s="259"/>
      <c r="AR50" s="259"/>
      <c r="AS50" s="259"/>
      <c r="AT50" s="259"/>
      <c r="AU50" s="259"/>
      <c r="AV50" s="259"/>
      <c r="AW50" s="259"/>
      <c r="AX50" s="259"/>
      <c r="AY50" s="261"/>
      <c r="AZ50" s="261"/>
      <c r="BA50" s="261"/>
      <c r="BB50" s="261"/>
      <c r="BC50" s="261"/>
      <c r="BD50" s="261"/>
      <c r="BE50" s="261"/>
      <c r="BF50" s="261"/>
      <c r="BG50" s="261"/>
    </row>
    <row r="51" spans="2:59" x14ac:dyDescent="0.25">
      <c r="B51" s="101" t="s">
        <v>663</v>
      </c>
      <c r="C51" s="102"/>
      <c r="D51" s="374" t="s">
        <v>427</v>
      </c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6"/>
      <c r="U51" s="138"/>
      <c r="V51" s="138"/>
      <c r="W51" s="138"/>
      <c r="X51" s="254"/>
      <c r="Y51" s="254"/>
      <c r="Z51" s="254"/>
      <c r="AA51" s="254"/>
      <c r="AB51" s="254"/>
      <c r="AC51" s="254"/>
      <c r="AD51" s="254"/>
      <c r="AE51" s="254"/>
      <c r="AF51" s="254"/>
      <c r="AG51" s="255"/>
      <c r="AH51" s="255"/>
      <c r="AI51" s="255"/>
      <c r="AJ51" s="255"/>
      <c r="AK51" s="255"/>
      <c r="AL51" s="255"/>
      <c r="AM51" s="255"/>
      <c r="AN51" s="241"/>
      <c r="AO51" s="255"/>
      <c r="AP51" s="256"/>
      <c r="AQ51" s="256"/>
      <c r="AR51" s="256"/>
      <c r="AS51" s="256"/>
      <c r="AT51" s="256"/>
      <c r="AU51" s="256"/>
      <c r="AV51" s="256"/>
      <c r="AW51" s="259"/>
      <c r="AX51" s="256"/>
      <c r="AY51" s="257"/>
      <c r="AZ51" s="257"/>
      <c r="BA51" s="257"/>
      <c r="BB51" s="257"/>
      <c r="BC51" s="257"/>
      <c r="BD51" s="257"/>
      <c r="BE51" s="257"/>
      <c r="BF51" s="261"/>
      <c r="BG51" s="257"/>
    </row>
    <row r="52" spans="2:59" x14ac:dyDescent="0.25">
      <c r="B52" s="105" t="s">
        <v>428</v>
      </c>
      <c r="C52" s="100"/>
      <c r="D52" s="365" t="s">
        <v>429</v>
      </c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7"/>
      <c r="U52" s="139"/>
      <c r="V52" s="139"/>
      <c r="W52" s="139"/>
      <c r="X52" s="254"/>
      <c r="Y52" s="254"/>
      <c r="Z52" s="254"/>
      <c r="AA52" s="254"/>
      <c r="AB52" s="254"/>
      <c r="AC52" s="254"/>
      <c r="AD52" s="254"/>
      <c r="AE52" s="254"/>
      <c r="AF52" s="254"/>
      <c r="AG52" s="255"/>
      <c r="AH52" s="255"/>
      <c r="AI52" s="255"/>
      <c r="AJ52" s="255"/>
      <c r="AK52" s="255"/>
      <c r="AL52" s="255"/>
      <c r="AM52" s="255"/>
      <c r="AN52" s="241"/>
      <c r="AO52" s="255"/>
      <c r="AP52" s="256"/>
      <c r="AQ52" s="256"/>
      <c r="AR52" s="256"/>
      <c r="AS52" s="256"/>
      <c r="AT52" s="256"/>
      <c r="AU52" s="256"/>
      <c r="AV52" s="256"/>
      <c r="AW52" s="259"/>
      <c r="AX52" s="256"/>
      <c r="AY52" s="257"/>
      <c r="AZ52" s="257"/>
      <c r="BA52" s="257"/>
      <c r="BB52" s="257"/>
      <c r="BC52" s="257"/>
      <c r="BD52" s="257"/>
      <c r="BE52" s="257"/>
      <c r="BF52" s="261"/>
      <c r="BG52" s="257"/>
    </row>
    <row r="53" spans="2:59" ht="36" x14ac:dyDescent="0.25">
      <c r="B53" s="92" t="s">
        <v>430</v>
      </c>
      <c r="C53" s="93"/>
      <c r="D53" s="76" t="s">
        <v>431</v>
      </c>
      <c r="E53" s="54" t="s">
        <v>328</v>
      </c>
      <c r="F53" s="54" t="s">
        <v>432</v>
      </c>
      <c r="G53" s="54" t="s">
        <v>433</v>
      </c>
      <c r="H53" s="54" t="s">
        <v>434</v>
      </c>
      <c r="I53" s="54" t="s">
        <v>298</v>
      </c>
      <c r="J53" s="54"/>
      <c r="K53" s="45">
        <f t="shared" ref="K53" si="16">SUM(L53:Q53)</f>
        <v>466925.52</v>
      </c>
      <c r="L53" s="60">
        <v>70038.83</v>
      </c>
      <c r="M53" s="45"/>
      <c r="N53" s="45"/>
      <c r="O53" s="45"/>
      <c r="P53" s="60">
        <v>396886.69</v>
      </c>
      <c r="Q53" s="99"/>
      <c r="R53" s="192">
        <v>2018</v>
      </c>
      <c r="S53" s="46"/>
      <c r="T53" s="86"/>
      <c r="U53" s="39">
        <v>42917</v>
      </c>
      <c r="V53" s="46">
        <v>42930</v>
      </c>
      <c r="W53" s="86">
        <f t="shared" ref="W53" si="17">IF(U53-V53&lt;0,(U53-V53)/30.41667,"–")</f>
        <v>-0.4273972134359218</v>
      </c>
      <c r="X53" s="242" t="s">
        <v>435</v>
      </c>
      <c r="Y53" s="242" t="s">
        <v>436</v>
      </c>
      <c r="Z53" s="242"/>
      <c r="AA53" s="242"/>
      <c r="AB53" s="242"/>
      <c r="AC53" s="242"/>
      <c r="AD53" s="242"/>
      <c r="AE53" s="242">
        <f t="shared" ref="AE53" si="18">SUM(Z53:AD53)</f>
        <v>0</v>
      </c>
      <c r="AF53" s="242">
        <v>80</v>
      </c>
      <c r="AG53" s="241"/>
      <c r="AH53" s="241"/>
      <c r="AI53" s="241"/>
      <c r="AJ53" s="241"/>
      <c r="AK53" s="241"/>
      <c r="AL53" s="241"/>
      <c r="AM53" s="241"/>
      <c r="AN53" s="241"/>
      <c r="AO53" s="241"/>
      <c r="AP53" s="259"/>
      <c r="AQ53" s="259"/>
      <c r="AR53" s="259"/>
      <c r="AS53" s="259"/>
      <c r="AT53" s="259"/>
      <c r="AU53" s="259"/>
      <c r="AV53" s="259"/>
      <c r="AW53" s="259"/>
      <c r="AX53" s="259"/>
      <c r="AY53" s="261"/>
      <c r="AZ53" s="261"/>
      <c r="BA53" s="261"/>
      <c r="BB53" s="261"/>
      <c r="BC53" s="261"/>
      <c r="BD53" s="261"/>
      <c r="BE53" s="261"/>
      <c r="BF53" s="261"/>
      <c r="BG53" s="261"/>
    </row>
    <row r="54" spans="2:59" ht="15" customHeight="1" x14ac:dyDescent="0.25">
      <c r="B54" s="101" t="s">
        <v>664</v>
      </c>
      <c r="C54" s="102"/>
      <c r="D54" s="359" t="s">
        <v>659</v>
      </c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1"/>
      <c r="U54" s="141"/>
      <c r="V54" s="141"/>
      <c r="W54" s="141"/>
      <c r="X54" s="254"/>
      <c r="Y54" s="254"/>
      <c r="Z54" s="254"/>
      <c r="AA54" s="254"/>
      <c r="AB54" s="254"/>
      <c r="AC54" s="254"/>
      <c r="AD54" s="254"/>
      <c r="AE54" s="254"/>
      <c r="AF54" s="254"/>
      <c r="AG54" s="255"/>
      <c r="AH54" s="255"/>
      <c r="AI54" s="255"/>
      <c r="AJ54" s="255"/>
      <c r="AK54" s="255"/>
      <c r="AL54" s="255"/>
      <c r="AM54" s="255"/>
      <c r="AN54" s="241"/>
      <c r="AO54" s="255"/>
      <c r="AP54" s="256"/>
      <c r="AQ54" s="256"/>
      <c r="AR54" s="256"/>
      <c r="AS54" s="256"/>
      <c r="AT54" s="256"/>
      <c r="AU54" s="256"/>
      <c r="AV54" s="256"/>
      <c r="AW54" s="259"/>
      <c r="AX54" s="256"/>
      <c r="AY54" s="257"/>
      <c r="AZ54" s="257"/>
      <c r="BA54" s="257"/>
      <c r="BB54" s="257"/>
      <c r="BC54" s="257"/>
      <c r="BD54" s="257"/>
      <c r="BE54" s="257"/>
      <c r="BF54" s="261"/>
      <c r="BG54" s="257"/>
    </row>
    <row r="55" spans="2:59" ht="15" customHeight="1" x14ac:dyDescent="0.25">
      <c r="B55" s="101" t="s">
        <v>665</v>
      </c>
      <c r="C55" s="102"/>
      <c r="D55" s="359" t="s">
        <v>437</v>
      </c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1"/>
      <c r="U55" s="141"/>
      <c r="V55" s="141"/>
      <c r="W55" s="141"/>
      <c r="X55" s="254"/>
      <c r="Y55" s="254"/>
      <c r="Z55" s="254"/>
      <c r="AA55" s="254"/>
      <c r="AB55" s="254"/>
      <c r="AC55" s="254"/>
      <c r="AD55" s="254"/>
      <c r="AE55" s="254"/>
      <c r="AF55" s="254"/>
      <c r="AG55" s="255"/>
      <c r="AH55" s="255"/>
      <c r="AI55" s="255"/>
      <c r="AJ55" s="255"/>
      <c r="AK55" s="255"/>
      <c r="AL55" s="255"/>
      <c r="AM55" s="255"/>
      <c r="AN55" s="241"/>
      <c r="AO55" s="255"/>
      <c r="AP55" s="256"/>
      <c r="AQ55" s="256"/>
      <c r="AR55" s="256"/>
      <c r="AS55" s="256"/>
      <c r="AT55" s="256"/>
      <c r="AU55" s="256"/>
      <c r="AV55" s="256"/>
      <c r="AW55" s="259"/>
      <c r="AX55" s="256"/>
      <c r="AY55" s="257"/>
      <c r="AZ55" s="257"/>
      <c r="BA55" s="257"/>
      <c r="BB55" s="257"/>
      <c r="BC55" s="257"/>
      <c r="BD55" s="257"/>
      <c r="BE55" s="257"/>
      <c r="BF55" s="261"/>
      <c r="BG55" s="257"/>
    </row>
    <row r="56" spans="2:59" ht="15" customHeight="1" x14ac:dyDescent="0.25">
      <c r="B56" s="101" t="s">
        <v>666</v>
      </c>
      <c r="C56" s="102"/>
      <c r="D56" s="359" t="s">
        <v>438</v>
      </c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1"/>
      <c r="U56" s="141"/>
      <c r="V56" s="141"/>
      <c r="W56" s="141"/>
      <c r="X56" s="254"/>
      <c r="Y56" s="254"/>
      <c r="Z56" s="254"/>
      <c r="AA56" s="254"/>
      <c r="AB56" s="254"/>
      <c r="AC56" s="254"/>
      <c r="AD56" s="254"/>
      <c r="AE56" s="254"/>
      <c r="AF56" s="254"/>
      <c r="AG56" s="255"/>
      <c r="AH56" s="255"/>
      <c r="AI56" s="255"/>
      <c r="AJ56" s="255"/>
      <c r="AK56" s="255"/>
      <c r="AL56" s="255"/>
      <c r="AM56" s="255"/>
      <c r="AN56" s="241"/>
      <c r="AO56" s="255"/>
      <c r="AP56" s="256"/>
      <c r="AQ56" s="256"/>
      <c r="AR56" s="256"/>
      <c r="AS56" s="256"/>
      <c r="AT56" s="256"/>
      <c r="AU56" s="256"/>
      <c r="AV56" s="256"/>
      <c r="AW56" s="259"/>
      <c r="AX56" s="256"/>
      <c r="AY56" s="257"/>
      <c r="AZ56" s="257"/>
      <c r="BA56" s="257"/>
      <c r="BB56" s="257"/>
      <c r="BC56" s="257"/>
      <c r="BD56" s="257"/>
      <c r="BE56" s="257"/>
      <c r="BF56" s="261"/>
      <c r="BG56" s="257"/>
    </row>
    <row r="57" spans="2:59" ht="15" customHeight="1" x14ac:dyDescent="0.25">
      <c r="B57" s="105" t="s">
        <v>439</v>
      </c>
      <c r="C57" s="100"/>
      <c r="D57" s="362" t="s">
        <v>440</v>
      </c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4"/>
      <c r="U57" s="142"/>
      <c r="V57" s="142"/>
      <c r="W57" s="142"/>
      <c r="X57" s="254"/>
      <c r="Y57" s="254"/>
      <c r="Z57" s="254"/>
      <c r="AA57" s="254"/>
      <c r="AB57" s="254"/>
      <c r="AC57" s="254"/>
      <c r="AD57" s="254"/>
      <c r="AE57" s="254"/>
      <c r="AF57" s="254"/>
      <c r="AG57" s="255"/>
      <c r="AH57" s="255"/>
      <c r="AI57" s="255"/>
      <c r="AJ57" s="255"/>
      <c r="AK57" s="255"/>
      <c r="AL57" s="255"/>
      <c r="AM57" s="255"/>
      <c r="AN57" s="241"/>
      <c r="AO57" s="255"/>
      <c r="AP57" s="256"/>
      <c r="AQ57" s="256"/>
      <c r="AR57" s="256"/>
      <c r="AS57" s="256"/>
      <c r="AT57" s="256"/>
      <c r="AU57" s="256"/>
      <c r="AV57" s="256"/>
      <c r="AW57" s="259"/>
      <c r="AX57" s="256"/>
      <c r="AY57" s="257"/>
      <c r="AZ57" s="257"/>
      <c r="BA57" s="257"/>
      <c r="BB57" s="257"/>
      <c r="BC57" s="257"/>
      <c r="BD57" s="257"/>
      <c r="BE57" s="257"/>
      <c r="BF57" s="261"/>
      <c r="BG57" s="257"/>
    </row>
    <row r="58" spans="2:59" ht="38.25" customHeight="1" x14ac:dyDescent="0.25">
      <c r="B58" s="92" t="s">
        <v>441</v>
      </c>
      <c r="C58" s="93"/>
      <c r="D58" s="75" t="s">
        <v>442</v>
      </c>
      <c r="E58" s="55" t="s">
        <v>294</v>
      </c>
      <c r="F58" s="55" t="s">
        <v>443</v>
      </c>
      <c r="G58" s="55" t="s">
        <v>444</v>
      </c>
      <c r="H58" s="54" t="s">
        <v>445</v>
      </c>
      <c r="I58" s="55" t="s">
        <v>298</v>
      </c>
      <c r="J58" s="55"/>
      <c r="K58" s="45">
        <f t="shared" ref="K58:K70" si="19">SUM(L58:Q58)</f>
        <v>348722.37</v>
      </c>
      <c r="L58" s="49">
        <v>26154.19</v>
      </c>
      <c r="M58" s="49">
        <v>26154.18</v>
      </c>
      <c r="N58" s="62"/>
      <c r="O58" s="45"/>
      <c r="P58" s="45">
        <v>296414</v>
      </c>
      <c r="Q58" s="99"/>
      <c r="R58" s="55">
        <v>2019</v>
      </c>
      <c r="S58" s="46"/>
      <c r="T58" s="86"/>
      <c r="U58" s="38">
        <v>43100</v>
      </c>
      <c r="V58" s="84"/>
      <c r="W58" s="86"/>
      <c r="X58" s="242" t="s">
        <v>446</v>
      </c>
      <c r="Y58" s="242" t="s">
        <v>447</v>
      </c>
      <c r="Z58" s="242"/>
      <c r="AA58" s="242"/>
      <c r="AB58" s="242"/>
      <c r="AC58" s="242"/>
      <c r="AD58" s="242"/>
      <c r="AE58" s="242">
        <f t="shared" ref="AE58:AE61" si="20">SUM(Z58:AD58)</f>
        <v>0</v>
      </c>
      <c r="AF58" s="242">
        <v>480</v>
      </c>
      <c r="AG58" s="241" t="s">
        <v>448</v>
      </c>
      <c r="AH58" s="241" t="s">
        <v>449</v>
      </c>
      <c r="AI58" s="241"/>
      <c r="AJ58" s="241"/>
      <c r="AK58" s="241"/>
      <c r="AL58" s="241"/>
      <c r="AM58" s="241"/>
      <c r="AN58" s="241">
        <f t="shared" si="1"/>
        <v>0</v>
      </c>
      <c r="AO58" s="241">
        <v>1</v>
      </c>
      <c r="AP58" s="266"/>
      <c r="AQ58" s="266"/>
      <c r="AR58" s="259"/>
      <c r="AS58" s="259"/>
      <c r="AT58" s="259"/>
      <c r="AU58" s="259"/>
      <c r="AV58" s="259"/>
      <c r="AW58" s="259"/>
      <c r="AX58" s="266"/>
      <c r="AY58" s="261"/>
      <c r="AZ58" s="261"/>
      <c r="BA58" s="261"/>
      <c r="BB58" s="261"/>
      <c r="BC58" s="261"/>
      <c r="BD58" s="261"/>
      <c r="BE58" s="261"/>
      <c r="BF58" s="261"/>
      <c r="BG58" s="261"/>
    </row>
    <row r="59" spans="2:59" ht="27" customHeight="1" x14ac:dyDescent="0.25">
      <c r="B59" s="92" t="s">
        <v>450</v>
      </c>
      <c r="C59" s="93"/>
      <c r="D59" s="75" t="s">
        <v>451</v>
      </c>
      <c r="E59" s="55" t="s">
        <v>308</v>
      </c>
      <c r="F59" s="55" t="s">
        <v>443</v>
      </c>
      <c r="G59" s="55" t="s">
        <v>349</v>
      </c>
      <c r="H59" s="54" t="s">
        <v>445</v>
      </c>
      <c r="I59" s="55" t="s">
        <v>298</v>
      </c>
      <c r="J59" s="55"/>
      <c r="K59" s="45">
        <f t="shared" si="19"/>
        <v>134057.64705882352</v>
      </c>
      <c r="L59" s="49">
        <f>P59*15/85/2</f>
        <v>10054.323529411764</v>
      </c>
      <c r="M59" s="49">
        <f>L59</f>
        <v>10054.323529411764</v>
      </c>
      <c r="N59" s="62"/>
      <c r="O59" s="45"/>
      <c r="P59" s="45">
        <v>113949</v>
      </c>
      <c r="Q59" s="99"/>
      <c r="R59" s="55">
        <v>2019</v>
      </c>
      <c r="S59" s="46"/>
      <c r="T59" s="86"/>
      <c r="U59" s="38">
        <v>43070</v>
      </c>
      <c r="V59" s="84"/>
      <c r="W59" s="86"/>
      <c r="X59" s="242" t="s">
        <v>446</v>
      </c>
      <c r="Y59" s="242" t="s">
        <v>447</v>
      </c>
      <c r="Z59" s="242"/>
      <c r="AA59" s="242"/>
      <c r="AB59" s="242"/>
      <c r="AC59" s="242"/>
      <c r="AD59" s="242"/>
      <c r="AE59" s="242">
        <f t="shared" si="20"/>
        <v>0</v>
      </c>
      <c r="AF59" s="242">
        <v>344</v>
      </c>
      <c r="AG59" s="241" t="s">
        <v>448</v>
      </c>
      <c r="AH59" s="241" t="s">
        <v>449</v>
      </c>
      <c r="AI59" s="241"/>
      <c r="AJ59" s="241"/>
      <c r="AK59" s="241"/>
      <c r="AL59" s="241"/>
      <c r="AM59" s="241"/>
      <c r="AN59" s="241">
        <f t="shared" si="1"/>
        <v>0</v>
      </c>
      <c r="AO59" s="241">
        <v>1</v>
      </c>
      <c r="AP59" s="266"/>
      <c r="AQ59" s="266"/>
      <c r="AR59" s="259"/>
      <c r="AS59" s="259"/>
      <c r="AT59" s="259"/>
      <c r="AU59" s="259"/>
      <c r="AV59" s="259"/>
      <c r="AW59" s="259"/>
      <c r="AX59" s="266"/>
      <c r="AY59" s="261"/>
      <c r="AZ59" s="261"/>
      <c r="BA59" s="261"/>
      <c r="BB59" s="261"/>
      <c r="BC59" s="261"/>
      <c r="BD59" s="261"/>
      <c r="BE59" s="261"/>
      <c r="BF59" s="261"/>
      <c r="BG59" s="261"/>
    </row>
    <row r="60" spans="2:59" ht="30" customHeight="1" x14ac:dyDescent="0.25">
      <c r="B60" s="92" t="s">
        <v>452</v>
      </c>
      <c r="C60" s="93"/>
      <c r="D60" s="75" t="s">
        <v>453</v>
      </c>
      <c r="E60" s="55" t="s">
        <v>328</v>
      </c>
      <c r="F60" s="55" t="s">
        <v>443</v>
      </c>
      <c r="G60" s="55" t="s">
        <v>356</v>
      </c>
      <c r="H60" s="54" t="s">
        <v>445</v>
      </c>
      <c r="I60" s="55" t="s">
        <v>298</v>
      </c>
      <c r="J60" s="55"/>
      <c r="K60" s="45">
        <f t="shared" si="19"/>
        <v>394072</v>
      </c>
      <c r="L60" s="49">
        <v>29556</v>
      </c>
      <c r="M60" s="49">
        <v>29555</v>
      </c>
      <c r="N60" s="45"/>
      <c r="O60" s="45"/>
      <c r="P60" s="45">
        <v>334961</v>
      </c>
      <c r="Q60" s="99"/>
      <c r="R60" s="55">
        <v>2020</v>
      </c>
      <c r="S60" s="46"/>
      <c r="T60" s="86"/>
      <c r="U60" s="38">
        <v>43070</v>
      </c>
      <c r="V60" s="84"/>
      <c r="W60" s="86"/>
      <c r="X60" s="242" t="s">
        <v>446</v>
      </c>
      <c r="Y60" s="267" t="s">
        <v>447</v>
      </c>
      <c r="Z60" s="267"/>
      <c r="AA60" s="267"/>
      <c r="AB60" s="267"/>
      <c r="AC60" s="267"/>
      <c r="AD60" s="267"/>
      <c r="AE60" s="242">
        <f t="shared" si="20"/>
        <v>0</v>
      </c>
      <c r="AF60" s="242">
        <v>250</v>
      </c>
      <c r="AG60" s="241" t="s">
        <v>448</v>
      </c>
      <c r="AH60" s="268" t="s">
        <v>449</v>
      </c>
      <c r="AI60" s="268"/>
      <c r="AJ60" s="268"/>
      <c r="AK60" s="268"/>
      <c r="AL60" s="268"/>
      <c r="AM60" s="268"/>
      <c r="AN60" s="241">
        <f t="shared" si="1"/>
        <v>0</v>
      </c>
      <c r="AO60" s="241">
        <v>1</v>
      </c>
      <c r="AP60" s="259" t="s">
        <v>454</v>
      </c>
      <c r="AQ60" s="269" t="s">
        <v>455</v>
      </c>
      <c r="AR60" s="269"/>
      <c r="AS60" s="269"/>
      <c r="AT60" s="269"/>
      <c r="AU60" s="269"/>
      <c r="AV60" s="269"/>
      <c r="AW60" s="259">
        <f t="shared" ref="AW60:AW70" si="21">SUM(AR60:AV60)</f>
        <v>0</v>
      </c>
      <c r="AX60" s="259">
        <v>20</v>
      </c>
      <c r="AY60" s="270"/>
      <c r="AZ60" s="270"/>
      <c r="BA60" s="271"/>
      <c r="BB60" s="271"/>
      <c r="BC60" s="271"/>
      <c r="BD60" s="271"/>
      <c r="BE60" s="271"/>
      <c r="BF60" s="261"/>
      <c r="BG60" s="270"/>
    </row>
    <row r="61" spans="2:59" ht="31.5" customHeight="1" x14ac:dyDescent="0.25">
      <c r="B61" s="92" t="s">
        <v>456</v>
      </c>
      <c r="C61" s="93"/>
      <c r="D61" s="75" t="s">
        <v>457</v>
      </c>
      <c r="E61" s="55" t="s">
        <v>304</v>
      </c>
      <c r="F61" s="55" t="s">
        <v>443</v>
      </c>
      <c r="G61" s="55" t="s">
        <v>320</v>
      </c>
      <c r="H61" s="54" t="s">
        <v>445</v>
      </c>
      <c r="I61" s="55" t="s">
        <v>298</v>
      </c>
      <c r="J61" s="55"/>
      <c r="K61" s="45">
        <f t="shared" si="19"/>
        <v>544762.36</v>
      </c>
      <c r="L61" s="49">
        <v>40857.18</v>
      </c>
      <c r="M61" s="49">
        <v>40857.18</v>
      </c>
      <c r="N61" s="63"/>
      <c r="O61" s="45"/>
      <c r="P61" s="45">
        <v>463048</v>
      </c>
      <c r="Q61" s="99"/>
      <c r="R61" s="55">
        <v>2019</v>
      </c>
      <c r="S61" s="46"/>
      <c r="T61" s="86"/>
      <c r="U61" s="38">
        <v>43100</v>
      </c>
      <c r="V61" s="84"/>
      <c r="W61" s="86"/>
      <c r="X61" s="242" t="s">
        <v>446</v>
      </c>
      <c r="Y61" s="242" t="s">
        <v>447</v>
      </c>
      <c r="Z61" s="242"/>
      <c r="AA61" s="242"/>
      <c r="AB61" s="242"/>
      <c r="AC61" s="242"/>
      <c r="AD61" s="242"/>
      <c r="AE61" s="242">
        <f t="shared" si="20"/>
        <v>0</v>
      </c>
      <c r="AF61" s="242">
        <v>550</v>
      </c>
      <c r="AG61" s="241" t="s">
        <v>448</v>
      </c>
      <c r="AH61" s="241" t="s">
        <v>449</v>
      </c>
      <c r="AI61" s="241"/>
      <c r="AJ61" s="241"/>
      <c r="AK61" s="241"/>
      <c r="AL61" s="241"/>
      <c r="AM61" s="241"/>
      <c r="AN61" s="241">
        <f t="shared" si="1"/>
        <v>0</v>
      </c>
      <c r="AO61" s="241">
        <v>1</v>
      </c>
      <c r="AP61" s="266"/>
      <c r="AQ61" s="266"/>
      <c r="AR61" s="259"/>
      <c r="AS61" s="259"/>
      <c r="AT61" s="259"/>
      <c r="AU61" s="259"/>
      <c r="AV61" s="259"/>
      <c r="AW61" s="259"/>
      <c r="AX61" s="266"/>
      <c r="AY61" s="261"/>
      <c r="AZ61" s="261"/>
      <c r="BA61" s="261"/>
      <c r="BB61" s="261"/>
      <c r="BC61" s="261"/>
      <c r="BD61" s="261"/>
      <c r="BE61" s="261"/>
      <c r="BF61" s="261"/>
      <c r="BG61" s="261"/>
    </row>
    <row r="62" spans="2:59" ht="15" customHeight="1" x14ac:dyDescent="0.25">
      <c r="B62" s="105" t="s">
        <v>458</v>
      </c>
      <c r="C62" s="100"/>
      <c r="D62" s="362" t="s">
        <v>459</v>
      </c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4"/>
      <c r="U62" s="142"/>
      <c r="V62" s="142"/>
      <c r="W62" s="142"/>
      <c r="X62" s="254"/>
      <c r="Y62" s="254"/>
      <c r="Z62" s="254"/>
      <c r="AA62" s="254"/>
      <c r="AB62" s="254"/>
      <c r="AC62" s="254"/>
      <c r="AD62" s="254"/>
      <c r="AE62" s="254"/>
      <c r="AF62" s="254"/>
      <c r="AG62" s="255"/>
      <c r="AH62" s="255"/>
      <c r="AI62" s="255"/>
      <c r="AJ62" s="255"/>
      <c r="AK62" s="255"/>
      <c r="AL62" s="255"/>
      <c r="AM62" s="255"/>
      <c r="AN62" s="241"/>
      <c r="AO62" s="255"/>
      <c r="AP62" s="256"/>
      <c r="AQ62" s="256"/>
      <c r="AR62" s="256"/>
      <c r="AS62" s="256"/>
      <c r="AT62" s="256"/>
      <c r="AU62" s="256"/>
      <c r="AV62" s="256"/>
      <c r="AW62" s="259"/>
      <c r="AX62" s="256"/>
      <c r="AY62" s="257"/>
      <c r="AZ62" s="257"/>
      <c r="BA62" s="257"/>
      <c r="BB62" s="257"/>
      <c r="BC62" s="257"/>
      <c r="BD62" s="257"/>
      <c r="BE62" s="257"/>
      <c r="BF62" s="261"/>
      <c r="BG62" s="257"/>
    </row>
    <row r="63" spans="2:59" ht="44.25" customHeight="1" x14ac:dyDescent="0.25">
      <c r="B63" s="92" t="s">
        <v>460</v>
      </c>
      <c r="C63" s="93"/>
      <c r="D63" s="51" t="s">
        <v>461</v>
      </c>
      <c r="E63" s="55" t="s">
        <v>308</v>
      </c>
      <c r="F63" s="55" t="s">
        <v>443</v>
      </c>
      <c r="G63" s="55" t="s">
        <v>349</v>
      </c>
      <c r="H63" s="55" t="s">
        <v>462</v>
      </c>
      <c r="I63" s="55" t="s">
        <v>298</v>
      </c>
      <c r="J63" s="55"/>
      <c r="K63" s="45">
        <f t="shared" si="19"/>
        <v>148515.76</v>
      </c>
      <c r="L63" s="45">
        <v>24397.759999999998</v>
      </c>
      <c r="M63" s="45"/>
      <c r="N63" s="45"/>
      <c r="O63" s="45"/>
      <c r="P63" s="45">
        <v>124118</v>
      </c>
      <c r="Q63" s="99"/>
      <c r="R63" s="55">
        <v>2019</v>
      </c>
      <c r="S63" s="46"/>
      <c r="T63" s="86"/>
      <c r="U63" s="38">
        <v>43070</v>
      </c>
      <c r="V63" s="46">
        <v>43084</v>
      </c>
      <c r="W63" s="86">
        <f t="shared" ref="W63:W66" si="22">IF(U63-V63&lt;0,(U63-V63)/30.41667,"–")</f>
        <v>-0.46027392216176194</v>
      </c>
      <c r="X63" s="242" t="s">
        <v>463</v>
      </c>
      <c r="Y63" s="242" t="s">
        <v>464</v>
      </c>
      <c r="Z63" s="242"/>
      <c r="AA63" s="242"/>
      <c r="AB63" s="242"/>
      <c r="AC63" s="242"/>
      <c r="AD63" s="242"/>
      <c r="AE63" s="242">
        <f t="shared" ref="AE63:AE70" si="23">SUM(Z63:AD63)</f>
        <v>0</v>
      </c>
      <c r="AF63" s="242">
        <v>1</v>
      </c>
      <c r="AG63" s="241" t="s">
        <v>446</v>
      </c>
      <c r="AH63" s="241" t="s">
        <v>447</v>
      </c>
      <c r="AI63" s="241"/>
      <c r="AJ63" s="241"/>
      <c r="AK63" s="241"/>
      <c r="AL63" s="241"/>
      <c r="AM63" s="241"/>
      <c r="AN63" s="241">
        <f t="shared" si="1"/>
        <v>0</v>
      </c>
      <c r="AO63" s="241">
        <v>342</v>
      </c>
      <c r="AP63" s="259"/>
      <c r="AQ63" s="259"/>
      <c r="AR63" s="259"/>
      <c r="AS63" s="259"/>
      <c r="AT63" s="259"/>
      <c r="AU63" s="259"/>
      <c r="AV63" s="259"/>
      <c r="AW63" s="259"/>
      <c r="AX63" s="259"/>
      <c r="AY63" s="261"/>
      <c r="AZ63" s="261"/>
      <c r="BA63" s="261"/>
      <c r="BB63" s="261"/>
      <c r="BC63" s="261"/>
      <c r="BD63" s="261"/>
      <c r="BE63" s="261"/>
      <c r="BF63" s="261"/>
      <c r="BG63" s="261"/>
    </row>
    <row r="64" spans="2:59" ht="42" customHeight="1" x14ac:dyDescent="0.25">
      <c r="B64" s="92" t="s">
        <v>465</v>
      </c>
      <c r="C64" s="93"/>
      <c r="D64" s="51" t="s">
        <v>466</v>
      </c>
      <c r="E64" s="55" t="s">
        <v>328</v>
      </c>
      <c r="F64" s="55" t="s">
        <v>443</v>
      </c>
      <c r="G64" s="55" t="s">
        <v>356</v>
      </c>
      <c r="H64" s="55" t="s">
        <v>462</v>
      </c>
      <c r="I64" s="55" t="s">
        <v>298</v>
      </c>
      <c r="J64" s="55"/>
      <c r="K64" s="45">
        <f t="shared" si="19"/>
        <v>181044</v>
      </c>
      <c r="L64" s="45">
        <v>27157</v>
      </c>
      <c r="M64" s="45"/>
      <c r="N64" s="45"/>
      <c r="O64" s="45"/>
      <c r="P64" s="45">
        <v>153887</v>
      </c>
      <c r="Q64" s="99"/>
      <c r="R64" s="55">
        <v>2019</v>
      </c>
      <c r="S64" s="46"/>
      <c r="T64" s="86"/>
      <c r="U64" s="38">
        <v>43070</v>
      </c>
      <c r="V64" s="46">
        <v>43091</v>
      </c>
      <c r="W64" s="86">
        <f t="shared" si="22"/>
        <v>-0.69041088324264288</v>
      </c>
      <c r="X64" s="242" t="s">
        <v>463</v>
      </c>
      <c r="Y64" s="242" t="s">
        <v>464</v>
      </c>
      <c r="Z64" s="242"/>
      <c r="AA64" s="242"/>
      <c r="AB64" s="242"/>
      <c r="AC64" s="242"/>
      <c r="AD64" s="242"/>
      <c r="AE64" s="242">
        <f t="shared" si="23"/>
        <v>0</v>
      </c>
      <c r="AF64" s="242">
        <v>1</v>
      </c>
      <c r="AG64" s="241" t="s">
        <v>446</v>
      </c>
      <c r="AH64" s="241" t="s">
        <v>447</v>
      </c>
      <c r="AI64" s="241"/>
      <c r="AJ64" s="241"/>
      <c r="AK64" s="241"/>
      <c r="AL64" s="241"/>
      <c r="AM64" s="241"/>
      <c r="AN64" s="241">
        <f t="shared" si="1"/>
        <v>0</v>
      </c>
      <c r="AO64" s="241">
        <v>269</v>
      </c>
      <c r="AP64" s="259"/>
      <c r="AQ64" s="259"/>
      <c r="AR64" s="259"/>
      <c r="AS64" s="259"/>
      <c r="AT64" s="259"/>
      <c r="AU64" s="259"/>
      <c r="AV64" s="259"/>
      <c r="AW64" s="259"/>
      <c r="AX64" s="259"/>
      <c r="AY64" s="261"/>
      <c r="AZ64" s="261"/>
      <c r="BA64" s="261"/>
      <c r="BB64" s="261"/>
      <c r="BC64" s="261"/>
      <c r="BD64" s="261"/>
      <c r="BE64" s="261"/>
      <c r="BF64" s="261"/>
      <c r="BG64" s="261"/>
    </row>
    <row r="65" spans="2:59" ht="40.5" customHeight="1" x14ac:dyDescent="0.25">
      <c r="B65" s="92" t="s">
        <v>467</v>
      </c>
      <c r="C65" s="93"/>
      <c r="D65" s="51" t="s">
        <v>468</v>
      </c>
      <c r="E65" s="55" t="s">
        <v>304</v>
      </c>
      <c r="F65" s="55" t="s">
        <v>443</v>
      </c>
      <c r="G65" s="55" t="s">
        <v>320</v>
      </c>
      <c r="H65" s="55" t="s">
        <v>462</v>
      </c>
      <c r="I65" s="55" t="s">
        <v>298</v>
      </c>
      <c r="J65" s="55"/>
      <c r="K65" s="45">
        <f t="shared" si="19"/>
        <v>250274.11</v>
      </c>
      <c r="L65" s="45">
        <v>37541.11</v>
      </c>
      <c r="M65" s="45"/>
      <c r="N65" s="45"/>
      <c r="O65" s="45"/>
      <c r="P65" s="45">
        <v>212733</v>
      </c>
      <c r="Q65" s="99"/>
      <c r="R65" s="55">
        <v>2020</v>
      </c>
      <c r="S65" s="46"/>
      <c r="T65" s="86"/>
      <c r="U65" s="38">
        <v>43160</v>
      </c>
      <c r="V65" s="84"/>
      <c r="W65" s="86"/>
      <c r="X65" s="242" t="s">
        <v>463</v>
      </c>
      <c r="Y65" s="242" t="s">
        <v>464</v>
      </c>
      <c r="Z65" s="242"/>
      <c r="AA65" s="242"/>
      <c r="AB65" s="242"/>
      <c r="AC65" s="242"/>
      <c r="AD65" s="242"/>
      <c r="AE65" s="242">
        <f t="shared" si="23"/>
        <v>0</v>
      </c>
      <c r="AF65" s="242">
        <v>1</v>
      </c>
      <c r="AG65" s="241" t="s">
        <v>446</v>
      </c>
      <c r="AH65" s="241" t="s">
        <v>447</v>
      </c>
      <c r="AI65" s="241"/>
      <c r="AJ65" s="241"/>
      <c r="AK65" s="241"/>
      <c r="AL65" s="241"/>
      <c r="AM65" s="241"/>
      <c r="AN65" s="241">
        <f t="shared" si="1"/>
        <v>0</v>
      </c>
      <c r="AO65" s="241">
        <v>1000</v>
      </c>
      <c r="AP65" s="259"/>
      <c r="AQ65" s="259"/>
      <c r="AR65" s="259"/>
      <c r="AS65" s="259"/>
      <c r="AT65" s="259"/>
      <c r="AU65" s="259"/>
      <c r="AV65" s="259"/>
      <c r="AW65" s="259"/>
      <c r="AX65" s="259"/>
      <c r="AY65" s="261"/>
      <c r="AZ65" s="261"/>
      <c r="BA65" s="261"/>
      <c r="BB65" s="261"/>
      <c r="BC65" s="261"/>
      <c r="BD65" s="261"/>
      <c r="BE65" s="261"/>
      <c r="BF65" s="261"/>
      <c r="BG65" s="261"/>
    </row>
    <row r="66" spans="2:59" ht="42" customHeight="1" x14ac:dyDescent="0.25">
      <c r="B66" s="92" t="s">
        <v>469</v>
      </c>
      <c r="C66" s="93"/>
      <c r="D66" s="51" t="s">
        <v>470</v>
      </c>
      <c r="E66" s="55" t="s">
        <v>471</v>
      </c>
      <c r="F66" s="55" t="s">
        <v>443</v>
      </c>
      <c r="G66" s="55" t="s">
        <v>444</v>
      </c>
      <c r="H66" s="55" t="s">
        <v>462</v>
      </c>
      <c r="I66" s="55" t="s">
        <v>298</v>
      </c>
      <c r="J66" s="55"/>
      <c r="K66" s="45">
        <f t="shared" si="19"/>
        <v>92842.82</v>
      </c>
      <c r="L66" s="45">
        <v>28431.82</v>
      </c>
      <c r="M66" s="45"/>
      <c r="N66" s="45"/>
      <c r="O66" s="45"/>
      <c r="P66" s="45">
        <v>64411</v>
      </c>
      <c r="Q66" s="99"/>
      <c r="R66" s="55">
        <v>2020</v>
      </c>
      <c r="S66" s="46"/>
      <c r="T66" s="86"/>
      <c r="U66" s="38">
        <v>43070</v>
      </c>
      <c r="V66" s="46">
        <v>43045</v>
      </c>
      <c r="W66" s="86" t="str">
        <f t="shared" si="22"/>
        <v>–</v>
      </c>
      <c r="X66" s="242" t="s">
        <v>463</v>
      </c>
      <c r="Y66" s="242" t="s">
        <v>464</v>
      </c>
      <c r="Z66" s="242"/>
      <c r="AA66" s="242"/>
      <c r="AB66" s="242"/>
      <c r="AC66" s="242"/>
      <c r="AD66" s="242"/>
      <c r="AE66" s="242">
        <f t="shared" si="23"/>
        <v>0</v>
      </c>
      <c r="AF66" s="242">
        <v>1</v>
      </c>
      <c r="AG66" s="241" t="s">
        <v>446</v>
      </c>
      <c r="AH66" s="241" t="s">
        <v>447</v>
      </c>
      <c r="AI66" s="241"/>
      <c r="AJ66" s="241"/>
      <c r="AK66" s="241"/>
      <c r="AL66" s="241"/>
      <c r="AM66" s="241"/>
      <c r="AN66" s="241">
        <f t="shared" si="1"/>
        <v>0</v>
      </c>
      <c r="AO66" s="241">
        <v>60</v>
      </c>
      <c r="AP66" s="259"/>
      <c r="AQ66" s="259"/>
      <c r="AR66" s="259"/>
      <c r="AS66" s="259"/>
      <c r="AT66" s="259"/>
      <c r="AU66" s="259"/>
      <c r="AV66" s="259"/>
      <c r="AW66" s="259"/>
      <c r="AX66" s="259"/>
      <c r="AY66" s="261"/>
      <c r="AZ66" s="261"/>
      <c r="BA66" s="261"/>
      <c r="BB66" s="261"/>
      <c r="BC66" s="261"/>
      <c r="BD66" s="261"/>
      <c r="BE66" s="261"/>
      <c r="BF66" s="261"/>
      <c r="BG66" s="261"/>
    </row>
    <row r="67" spans="2:59" ht="15" customHeight="1" x14ac:dyDescent="0.25">
      <c r="B67" s="105" t="s">
        <v>472</v>
      </c>
      <c r="C67" s="100"/>
      <c r="D67" s="362" t="s">
        <v>473</v>
      </c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4"/>
      <c r="U67" s="142"/>
      <c r="V67" s="142"/>
      <c r="W67" s="142"/>
      <c r="X67" s="254"/>
      <c r="Y67" s="254"/>
      <c r="Z67" s="254"/>
      <c r="AA67" s="254"/>
      <c r="AB67" s="254"/>
      <c r="AC67" s="254"/>
      <c r="AD67" s="254"/>
      <c r="AE67" s="254"/>
      <c r="AF67" s="254"/>
      <c r="AG67" s="255"/>
      <c r="AH67" s="255"/>
      <c r="AI67" s="255"/>
      <c r="AJ67" s="255"/>
      <c r="AK67" s="255"/>
      <c r="AL67" s="255"/>
      <c r="AM67" s="255"/>
      <c r="AN67" s="241"/>
      <c r="AO67" s="255"/>
      <c r="AP67" s="256"/>
      <c r="AQ67" s="256"/>
      <c r="AR67" s="256"/>
      <c r="AS67" s="256"/>
      <c r="AT67" s="256"/>
      <c r="AU67" s="256"/>
      <c r="AV67" s="256"/>
      <c r="AW67" s="259"/>
      <c r="AX67" s="256"/>
      <c r="AY67" s="257"/>
      <c r="AZ67" s="257"/>
      <c r="BA67" s="257"/>
      <c r="BB67" s="257"/>
      <c r="BC67" s="257"/>
      <c r="BD67" s="257"/>
      <c r="BE67" s="257"/>
      <c r="BF67" s="261"/>
      <c r="BG67" s="257"/>
    </row>
    <row r="68" spans="2:59" ht="23.25" customHeight="1" x14ac:dyDescent="0.25">
      <c r="B68" s="92" t="s">
        <v>474</v>
      </c>
      <c r="C68" s="93"/>
      <c r="D68" s="74" t="s">
        <v>475</v>
      </c>
      <c r="E68" s="54" t="s">
        <v>294</v>
      </c>
      <c r="F68" s="55" t="s">
        <v>443</v>
      </c>
      <c r="G68" s="55" t="s">
        <v>444</v>
      </c>
      <c r="H68" s="55" t="s">
        <v>476</v>
      </c>
      <c r="I68" s="55" t="s">
        <v>298</v>
      </c>
      <c r="J68" s="55"/>
      <c r="K68" s="45">
        <f t="shared" si="19"/>
        <v>809630.41999999993</v>
      </c>
      <c r="L68" s="45">
        <v>553430.44999999995</v>
      </c>
      <c r="M68" s="45">
        <v>20772.97</v>
      </c>
      <c r="N68" s="45"/>
      <c r="O68" s="45"/>
      <c r="P68" s="45">
        <v>235427</v>
      </c>
      <c r="Q68" s="99"/>
      <c r="R68" s="55">
        <v>2019</v>
      </c>
      <c r="S68" s="46"/>
      <c r="T68" s="86"/>
      <c r="U68" s="38">
        <v>43160</v>
      </c>
      <c r="V68" s="84"/>
      <c r="W68" s="86"/>
      <c r="X68" s="242" t="s">
        <v>446</v>
      </c>
      <c r="Y68" s="272" t="s">
        <v>447</v>
      </c>
      <c r="Z68" s="272"/>
      <c r="AA68" s="272"/>
      <c r="AB68" s="272"/>
      <c r="AC68" s="272"/>
      <c r="AD68" s="272"/>
      <c r="AE68" s="242">
        <f t="shared" si="23"/>
        <v>0</v>
      </c>
      <c r="AF68" s="242">
        <v>261</v>
      </c>
      <c r="AG68" s="241" t="s">
        <v>454</v>
      </c>
      <c r="AH68" s="241" t="s">
        <v>455</v>
      </c>
      <c r="AI68" s="241"/>
      <c r="AJ68" s="241"/>
      <c r="AK68" s="241"/>
      <c r="AL68" s="241"/>
      <c r="AM68" s="241"/>
      <c r="AN68" s="241">
        <f t="shared" si="1"/>
        <v>0</v>
      </c>
      <c r="AO68" s="241">
        <v>100</v>
      </c>
      <c r="AP68" s="259" t="s">
        <v>478</v>
      </c>
      <c r="AQ68" s="259" t="s">
        <v>479</v>
      </c>
      <c r="AR68" s="259"/>
      <c r="AS68" s="259"/>
      <c r="AT68" s="259"/>
      <c r="AU68" s="259"/>
      <c r="AV68" s="259"/>
      <c r="AW68" s="259">
        <f t="shared" si="21"/>
        <v>0</v>
      </c>
      <c r="AX68" s="259">
        <v>1</v>
      </c>
      <c r="AY68" s="270"/>
      <c r="AZ68" s="270"/>
      <c r="BA68" s="261"/>
      <c r="BB68" s="261"/>
      <c r="BC68" s="261"/>
      <c r="BD68" s="261"/>
      <c r="BE68" s="261"/>
      <c r="BF68" s="261"/>
      <c r="BG68" s="270"/>
    </row>
    <row r="69" spans="2:59" ht="42" customHeight="1" x14ac:dyDescent="0.25">
      <c r="B69" s="92" t="s">
        <v>480</v>
      </c>
      <c r="C69" s="93"/>
      <c r="D69" s="74" t="s">
        <v>481</v>
      </c>
      <c r="E69" s="54" t="s">
        <v>328</v>
      </c>
      <c r="F69" s="55" t="s">
        <v>443</v>
      </c>
      <c r="G69" s="55" t="s">
        <v>426</v>
      </c>
      <c r="H69" s="55" t="s">
        <v>476</v>
      </c>
      <c r="I69" s="55" t="s">
        <v>298</v>
      </c>
      <c r="J69" s="55"/>
      <c r="K69" s="45">
        <f t="shared" si="19"/>
        <v>226080</v>
      </c>
      <c r="L69" s="45">
        <v>16956</v>
      </c>
      <c r="M69" s="45">
        <v>16956</v>
      </c>
      <c r="N69" s="45"/>
      <c r="O69" s="45"/>
      <c r="P69" s="45">
        <v>192168</v>
      </c>
      <c r="Q69" s="99"/>
      <c r="R69" s="55">
        <v>2020</v>
      </c>
      <c r="S69" s="46"/>
      <c r="T69" s="86"/>
      <c r="U69" s="38">
        <v>43132</v>
      </c>
      <c r="V69" s="84"/>
      <c r="W69" s="86"/>
      <c r="X69" s="242" t="s">
        <v>446</v>
      </c>
      <c r="Y69" s="272" t="s">
        <v>447</v>
      </c>
      <c r="Z69" s="272"/>
      <c r="AA69" s="272"/>
      <c r="AB69" s="272"/>
      <c r="AC69" s="272"/>
      <c r="AD69" s="272"/>
      <c r="AE69" s="242">
        <f t="shared" si="23"/>
        <v>0</v>
      </c>
      <c r="AF69" s="242">
        <v>34</v>
      </c>
      <c r="AG69" s="241"/>
      <c r="AH69" s="241"/>
      <c r="AI69" s="241"/>
      <c r="AJ69" s="241"/>
      <c r="AK69" s="241"/>
      <c r="AL69" s="241"/>
      <c r="AM69" s="241"/>
      <c r="AN69" s="241"/>
      <c r="AO69" s="241"/>
      <c r="AP69" s="259" t="s">
        <v>478</v>
      </c>
      <c r="AQ69" s="259" t="s">
        <v>479</v>
      </c>
      <c r="AR69" s="259"/>
      <c r="AS69" s="259"/>
      <c r="AT69" s="259"/>
      <c r="AU69" s="259"/>
      <c r="AV69" s="259"/>
      <c r="AW69" s="259">
        <f t="shared" si="21"/>
        <v>0</v>
      </c>
      <c r="AX69" s="259">
        <v>1</v>
      </c>
      <c r="AY69" s="261" t="s">
        <v>482</v>
      </c>
      <c r="AZ69" s="261" t="s">
        <v>483</v>
      </c>
      <c r="BA69" s="261"/>
      <c r="BB69" s="261"/>
      <c r="BC69" s="261"/>
      <c r="BD69" s="261"/>
      <c r="BE69" s="261"/>
      <c r="BF69" s="261">
        <f t="shared" ref="BF69:BF70" si="24">SUM(BA69:BE69)</f>
        <v>0</v>
      </c>
      <c r="BG69" s="261">
        <v>2</v>
      </c>
    </row>
    <row r="70" spans="2:59" ht="51.75" customHeight="1" x14ac:dyDescent="0.25">
      <c r="B70" s="92" t="s">
        <v>484</v>
      </c>
      <c r="C70" s="93"/>
      <c r="D70" s="74" t="s">
        <v>485</v>
      </c>
      <c r="E70" s="54" t="s">
        <v>304</v>
      </c>
      <c r="F70" s="55" t="s">
        <v>443</v>
      </c>
      <c r="G70" s="55" t="s">
        <v>320</v>
      </c>
      <c r="H70" s="55" t="s">
        <v>476</v>
      </c>
      <c r="I70" s="55" t="s">
        <v>298</v>
      </c>
      <c r="J70" s="55"/>
      <c r="K70" s="45">
        <f t="shared" si="19"/>
        <v>312531.76470588235</v>
      </c>
      <c r="L70" s="45">
        <f>P70*15/85/2</f>
        <v>23439.882352941175</v>
      </c>
      <c r="M70" s="45">
        <f>L70</f>
        <v>23439.882352941175</v>
      </c>
      <c r="N70" s="45"/>
      <c r="O70" s="45"/>
      <c r="P70" s="45">
        <v>265652</v>
      </c>
      <c r="Q70" s="99"/>
      <c r="R70" s="55">
        <v>2020</v>
      </c>
      <c r="S70" s="46"/>
      <c r="T70" s="86"/>
      <c r="U70" s="38">
        <v>43132</v>
      </c>
      <c r="V70" s="84"/>
      <c r="W70" s="86"/>
      <c r="X70" s="242" t="s">
        <v>446</v>
      </c>
      <c r="Y70" s="272" t="s">
        <v>447</v>
      </c>
      <c r="Z70" s="272"/>
      <c r="AA70" s="272"/>
      <c r="AB70" s="272"/>
      <c r="AC70" s="272"/>
      <c r="AD70" s="272"/>
      <c r="AE70" s="242">
        <f t="shared" si="23"/>
        <v>0</v>
      </c>
      <c r="AF70" s="242">
        <v>245</v>
      </c>
      <c r="AG70" s="241"/>
      <c r="AH70" s="241"/>
      <c r="AI70" s="241"/>
      <c r="AJ70" s="241"/>
      <c r="AK70" s="241"/>
      <c r="AL70" s="241"/>
      <c r="AM70" s="241"/>
      <c r="AN70" s="241"/>
      <c r="AO70" s="273"/>
      <c r="AP70" s="259" t="s">
        <v>478</v>
      </c>
      <c r="AQ70" s="259" t="s">
        <v>479</v>
      </c>
      <c r="AR70" s="259"/>
      <c r="AS70" s="259"/>
      <c r="AT70" s="259"/>
      <c r="AU70" s="259"/>
      <c r="AV70" s="259"/>
      <c r="AW70" s="259">
        <f t="shared" si="21"/>
        <v>0</v>
      </c>
      <c r="AX70" s="259">
        <v>1</v>
      </c>
      <c r="AY70" s="261" t="s">
        <v>482</v>
      </c>
      <c r="AZ70" s="261" t="s">
        <v>483</v>
      </c>
      <c r="BA70" s="261"/>
      <c r="BB70" s="261"/>
      <c r="BC70" s="261"/>
      <c r="BD70" s="261"/>
      <c r="BE70" s="261"/>
      <c r="BF70" s="261">
        <f t="shared" si="24"/>
        <v>0</v>
      </c>
      <c r="BG70" s="261">
        <v>6</v>
      </c>
    </row>
    <row r="71" spans="2:59" x14ac:dyDescent="0.25">
      <c r="B71" s="101" t="s">
        <v>667</v>
      </c>
      <c r="C71" s="102"/>
      <c r="D71" s="374" t="s">
        <v>486</v>
      </c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6"/>
      <c r="U71" s="138"/>
      <c r="V71" s="138"/>
      <c r="W71" s="138"/>
      <c r="X71" s="254"/>
      <c r="Y71" s="254"/>
      <c r="Z71" s="254"/>
      <c r="AA71" s="254"/>
      <c r="AB71" s="254"/>
      <c r="AC71" s="254"/>
      <c r="AD71" s="254"/>
      <c r="AE71" s="254"/>
      <c r="AF71" s="254"/>
      <c r="AG71" s="255"/>
      <c r="AH71" s="255"/>
      <c r="AI71" s="255"/>
      <c r="AJ71" s="255"/>
      <c r="AK71" s="255"/>
      <c r="AL71" s="255"/>
      <c r="AM71" s="255"/>
      <c r="AN71" s="241"/>
      <c r="AO71" s="255"/>
      <c r="AP71" s="256"/>
      <c r="AQ71" s="256"/>
      <c r="AR71" s="256"/>
      <c r="AS71" s="256"/>
      <c r="AT71" s="256"/>
      <c r="AU71" s="256"/>
      <c r="AV71" s="256"/>
      <c r="AW71" s="259"/>
      <c r="AX71" s="256"/>
      <c r="AY71" s="257"/>
      <c r="AZ71" s="257"/>
      <c r="BA71" s="257"/>
      <c r="BB71" s="257"/>
      <c r="BC71" s="257"/>
      <c r="BD71" s="257"/>
      <c r="BE71" s="257"/>
      <c r="BF71" s="261"/>
      <c r="BG71" s="257"/>
    </row>
    <row r="72" spans="2:59" x14ac:dyDescent="0.25">
      <c r="B72" s="105" t="s">
        <v>487</v>
      </c>
      <c r="C72" s="100"/>
      <c r="D72" s="365" t="s">
        <v>488</v>
      </c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7"/>
      <c r="U72" s="139"/>
      <c r="V72" s="139"/>
      <c r="W72" s="139"/>
      <c r="X72" s="254"/>
      <c r="Y72" s="254"/>
      <c r="Z72" s="254"/>
      <c r="AA72" s="254"/>
      <c r="AB72" s="254"/>
      <c r="AC72" s="254"/>
      <c r="AD72" s="254"/>
      <c r="AE72" s="254"/>
      <c r="AF72" s="254"/>
      <c r="AG72" s="255"/>
      <c r="AH72" s="255"/>
      <c r="AI72" s="255"/>
      <c r="AJ72" s="255"/>
      <c r="AK72" s="255"/>
      <c r="AL72" s="255"/>
      <c r="AM72" s="255"/>
      <c r="AN72" s="241"/>
      <c r="AO72" s="255"/>
      <c r="AP72" s="256"/>
      <c r="AQ72" s="256"/>
      <c r="AR72" s="256"/>
      <c r="AS72" s="256"/>
      <c r="AT72" s="256"/>
      <c r="AU72" s="256"/>
      <c r="AV72" s="256"/>
      <c r="AW72" s="259"/>
      <c r="AX72" s="256"/>
      <c r="AY72" s="257"/>
      <c r="AZ72" s="257"/>
      <c r="BA72" s="257"/>
      <c r="BB72" s="257"/>
      <c r="BC72" s="257"/>
      <c r="BD72" s="257"/>
      <c r="BE72" s="257"/>
      <c r="BF72" s="261"/>
      <c r="BG72" s="257"/>
    </row>
    <row r="73" spans="2:59" ht="34.5" customHeight="1" x14ac:dyDescent="0.25">
      <c r="B73" s="92" t="s">
        <v>489</v>
      </c>
      <c r="C73" s="93"/>
      <c r="D73" s="43" t="s">
        <v>490</v>
      </c>
      <c r="E73" s="54" t="s">
        <v>308</v>
      </c>
      <c r="F73" s="55" t="s">
        <v>491</v>
      </c>
      <c r="G73" s="55" t="s">
        <v>492</v>
      </c>
      <c r="H73" s="202" t="s">
        <v>493</v>
      </c>
      <c r="I73" s="55" t="s">
        <v>298</v>
      </c>
      <c r="J73" s="55"/>
      <c r="K73" s="45">
        <f t="shared" ref="K73:K99" si="25">SUM(L73:Q73)</f>
        <v>46877.647058823532</v>
      </c>
      <c r="L73" s="45">
        <f>M73</f>
        <v>3515.8235294117649</v>
      </c>
      <c r="M73" s="45">
        <f>7.5*P73/85</f>
        <v>3515.8235294117649</v>
      </c>
      <c r="N73" s="45"/>
      <c r="O73" s="45"/>
      <c r="P73" s="45">
        <v>39846</v>
      </c>
      <c r="Q73" s="94"/>
      <c r="R73" s="55">
        <v>2021</v>
      </c>
      <c r="S73" s="93"/>
      <c r="T73" s="93"/>
      <c r="U73" s="38">
        <v>43281</v>
      </c>
      <c r="V73" s="41"/>
      <c r="W73" s="41"/>
      <c r="X73" s="242" t="s">
        <v>494</v>
      </c>
      <c r="Y73" s="242" t="s">
        <v>495</v>
      </c>
      <c r="Z73" s="242"/>
      <c r="AA73" s="242"/>
      <c r="AB73" s="242"/>
      <c r="AC73" s="242"/>
      <c r="AD73" s="242"/>
      <c r="AE73" s="242">
        <f t="shared" ref="AE73:AE81" si="26">SUM(Z73:AD73)</f>
        <v>0</v>
      </c>
      <c r="AF73" s="242">
        <v>431</v>
      </c>
      <c r="AG73" s="241"/>
      <c r="AH73" s="241"/>
      <c r="AI73" s="241"/>
      <c r="AJ73" s="241"/>
      <c r="AK73" s="241"/>
      <c r="AL73" s="241"/>
      <c r="AM73" s="241"/>
      <c r="AN73" s="241"/>
      <c r="AO73" s="241"/>
      <c r="AP73" s="259"/>
      <c r="AQ73" s="259"/>
      <c r="AR73" s="259"/>
      <c r="AS73" s="259"/>
      <c r="AT73" s="259"/>
      <c r="AU73" s="259"/>
      <c r="AV73" s="259"/>
      <c r="AW73" s="259"/>
      <c r="AX73" s="259"/>
      <c r="AY73" s="261"/>
      <c r="AZ73" s="261"/>
      <c r="BA73" s="261"/>
      <c r="BB73" s="261"/>
      <c r="BC73" s="261"/>
      <c r="BD73" s="261"/>
      <c r="BE73" s="261"/>
      <c r="BF73" s="261"/>
      <c r="BG73" s="261"/>
    </row>
    <row r="74" spans="2:59" ht="26.25" customHeight="1" x14ac:dyDescent="0.25">
      <c r="B74" s="92" t="s">
        <v>496</v>
      </c>
      <c r="C74" s="93"/>
      <c r="D74" s="43" t="s">
        <v>497</v>
      </c>
      <c r="E74" s="54" t="s">
        <v>498</v>
      </c>
      <c r="F74" s="55" t="s">
        <v>491</v>
      </c>
      <c r="G74" s="55" t="s">
        <v>426</v>
      </c>
      <c r="H74" s="202" t="s">
        <v>493</v>
      </c>
      <c r="I74" s="55" t="s">
        <v>298</v>
      </c>
      <c r="J74" s="55"/>
      <c r="K74" s="45">
        <f t="shared" si="25"/>
        <v>137798.82352941178</v>
      </c>
      <c r="L74" s="45">
        <f t="shared" ref="L74:L76" si="27">M74</f>
        <v>10334.911764705883</v>
      </c>
      <c r="M74" s="45">
        <f t="shared" ref="M74:M76" si="28">7.5*P74/85</f>
        <v>10334.911764705883</v>
      </c>
      <c r="N74" s="45"/>
      <c r="O74" s="45"/>
      <c r="P74" s="45">
        <v>117129</v>
      </c>
      <c r="Q74" s="94"/>
      <c r="R74" s="55">
        <v>2021</v>
      </c>
      <c r="S74" s="93"/>
      <c r="T74" s="93"/>
      <c r="U74" s="38">
        <v>43281</v>
      </c>
      <c r="V74" s="41"/>
      <c r="W74" s="41"/>
      <c r="X74" s="242" t="s">
        <v>494</v>
      </c>
      <c r="Y74" s="242" t="s">
        <v>495</v>
      </c>
      <c r="Z74" s="242"/>
      <c r="AA74" s="242"/>
      <c r="AB74" s="242"/>
      <c r="AC74" s="242"/>
      <c r="AD74" s="242"/>
      <c r="AE74" s="242">
        <f t="shared" si="26"/>
        <v>0</v>
      </c>
      <c r="AF74" s="242">
        <v>1177</v>
      </c>
      <c r="AG74" s="241" t="s">
        <v>499</v>
      </c>
      <c r="AH74" s="241" t="s">
        <v>500</v>
      </c>
      <c r="AI74" s="241"/>
      <c r="AJ74" s="241"/>
      <c r="AK74" s="241"/>
      <c r="AL74" s="241"/>
      <c r="AM74" s="241"/>
      <c r="AN74" s="241">
        <f t="shared" si="1"/>
        <v>0</v>
      </c>
      <c r="AO74" s="241">
        <v>1</v>
      </c>
      <c r="AP74" s="259"/>
      <c r="AQ74" s="259"/>
      <c r="AR74" s="259"/>
      <c r="AS74" s="259"/>
      <c r="AT74" s="259"/>
      <c r="AU74" s="259"/>
      <c r="AV74" s="259"/>
      <c r="AW74" s="259"/>
      <c r="AX74" s="259"/>
      <c r="AY74" s="261"/>
      <c r="AZ74" s="261"/>
      <c r="BA74" s="261"/>
      <c r="BB74" s="261"/>
      <c r="BC74" s="261"/>
      <c r="BD74" s="261"/>
      <c r="BE74" s="261"/>
      <c r="BF74" s="261"/>
      <c r="BG74" s="261"/>
    </row>
    <row r="75" spans="2:59" ht="30" customHeight="1" x14ac:dyDescent="0.25">
      <c r="B75" s="92" t="s">
        <v>501</v>
      </c>
      <c r="C75" s="93"/>
      <c r="D75" s="43" t="s">
        <v>502</v>
      </c>
      <c r="E75" s="54" t="s">
        <v>503</v>
      </c>
      <c r="F75" s="55" t="s">
        <v>491</v>
      </c>
      <c r="G75" s="55" t="s">
        <v>504</v>
      </c>
      <c r="H75" s="202" t="s">
        <v>493</v>
      </c>
      <c r="I75" s="55" t="s">
        <v>298</v>
      </c>
      <c r="J75" s="55"/>
      <c r="K75" s="45">
        <f t="shared" si="25"/>
        <v>190492.9411764706</v>
      </c>
      <c r="L75" s="45">
        <f t="shared" si="27"/>
        <v>14286.970588235294</v>
      </c>
      <c r="M75" s="45">
        <f t="shared" si="28"/>
        <v>14286.970588235294</v>
      </c>
      <c r="N75" s="45"/>
      <c r="O75" s="45"/>
      <c r="P75" s="45">
        <v>161919</v>
      </c>
      <c r="Q75" s="94"/>
      <c r="R75" s="55">
        <v>2021</v>
      </c>
      <c r="S75" s="93"/>
      <c r="T75" s="93"/>
      <c r="U75" s="38">
        <v>43281</v>
      </c>
      <c r="V75" s="41"/>
      <c r="W75" s="41"/>
      <c r="X75" s="242" t="s">
        <v>494</v>
      </c>
      <c r="Y75" s="242" t="s">
        <v>505</v>
      </c>
      <c r="Z75" s="242"/>
      <c r="AA75" s="242"/>
      <c r="AB75" s="242"/>
      <c r="AC75" s="242"/>
      <c r="AD75" s="242"/>
      <c r="AE75" s="242">
        <f t="shared" si="26"/>
        <v>0</v>
      </c>
      <c r="AF75" s="242">
        <v>1615</v>
      </c>
      <c r="AG75" s="241"/>
      <c r="AH75" s="241"/>
      <c r="AI75" s="241"/>
      <c r="AJ75" s="241"/>
      <c r="AK75" s="241"/>
      <c r="AL75" s="241"/>
      <c r="AM75" s="241"/>
      <c r="AN75" s="241"/>
      <c r="AO75" s="241"/>
      <c r="AP75" s="259"/>
      <c r="AQ75" s="259"/>
      <c r="AR75" s="259"/>
      <c r="AS75" s="259"/>
      <c r="AT75" s="259"/>
      <c r="AU75" s="259"/>
      <c r="AV75" s="259"/>
      <c r="AW75" s="259"/>
      <c r="AX75" s="259"/>
      <c r="AY75" s="261"/>
      <c r="AZ75" s="261"/>
      <c r="BA75" s="261"/>
      <c r="BB75" s="261"/>
      <c r="BC75" s="261"/>
      <c r="BD75" s="261"/>
      <c r="BE75" s="261"/>
      <c r="BF75" s="261"/>
      <c r="BG75" s="261"/>
    </row>
    <row r="76" spans="2:59" ht="39" customHeight="1" x14ac:dyDescent="0.25">
      <c r="B76" s="92" t="s">
        <v>506</v>
      </c>
      <c r="C76" s="93"/>
      <c r="D76" s="43" t="s">
        <v>507</v>
      </c>
      <c r="E76" s="54" t="s">
        <v>508</v>
      </c>
      <c r="F76" s="55" t="s">
        <v>491</v>
      </c>
      <c r="G76" s="55" t="s">
        <v>509</v>
      </c>
      <c r="H76" s="202" t="s">
        <v>493</v>
      </c>
      <c r="I76" s="55" t="s">
        <v>298</v>
      </c>
      <c r="J76" s="55"/>
      <c r="K76" s="45">
        <f t="shared" si="25"/>
        <v>121941.17647058824</v>
      </c>
      <c r="L76" s="45">
        <f t="shared" si="27"/>
        <v>9145.5882352941171</v>
      </c>
      <c r="M76" s="45">
        <f t="shared" si="28"/>
        <v>9145.5882352941171</v>
      </c>
      <c r="N76" s="45"/>
      <c r="O76" s="45"/>
      <c r="P76" s="45">
        <v>103650</v>
      </c>
      <c r="Q76" s="94"/>
      <c r="R76" s="55">
        <v>2022</v>
      </c>
      <c r="S76" s="93"/>
      <c r="T76" s="93"/>
      <c r="U76" s="38">
        <v>43281</v>
      </c>
      <c r="V76" s="41"/>
      <c r="W76" s="41"/>
      <c r="X76" s="242" t="s">
        <v>494</v>
      </c>
      <c r="Y76" s="242" t="s">
        <v>510</v>
      </c>
      <c r="Z76" s="242"/>
      <c r="AA76" s="242"/>
      <c r="AB76" s="242"/>
      <c r="AC76" s="242"/>
      <c r="AD76" s="242"/>
      <c r="AE76" s="242">
        <f t="shared" si="26"/>
        <v>0</v>
      </c>
      <c r="AF76" s="242">
        <v>1024</v>
      </c>
      <c r="AG76" s="273"/>
      <c r="AH76" s="241"/>
      <c r="AI76" s="241"/>
      <c r="AJ76" s="241"/>
      <c r="AK76" s="241"/>
      <c r="AL76" s="241"/>
      <c r="AM76" s="241"/>
      <c r="AN76" s="241"/>
      <c r="AO76" s="241"/>
      <c r="AP76" s="259"/>
      <c r="AQ76" s="259"/>
      <c r="AR76" s="259"/>
      <c r="AS76" s="259"/>
      <c r="AT76" s="259"/>
      <c r="AU76" s="259"/>
      <c r="AV76" s="259"/>
      <c r="AW76" s="259"/>
      <c r="AX76" s="259"/>
      <c r="AY76" s="261"/>
      <c r="AZ76" s="261"/>
      <c r="BA76" s="261"/>
      <c r="BB76" s="261"/>
      <c r="BC76" s="261"/>
      <c r="BD76" s="261"/>
      <c r="BE76" s="261"/>
      <c r="BF76" s="261"/>
      <c r="BG76" s="261"/>
    </row>
    <row r="77" spans="2:59" x14ac:dyDescent="0.25">
      <c r="B77" s="105" t="s">
        <v>511</v>
      </c>
      <c r="C77" s="100"/>
      <c r="D77" s="365" t="s">
        <v>512</v>
      </c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7"/>
      <c r="U77" s="139"/>
      <c r="V77" s="139"/>
      <c r="W77" s="139"/>
      <c r="X77" s="254"/>
      <c r="Y77" s="254"/>
      <c r="Z77" s="254"/>
      <c r="AA77" s="254"/>
      <c r="AB77" s="254"/>
      <c r="AC77" s="254"/>
      <c r="AD77" s="254"/>
      <c r="AE77" s="254"/>
      <c r="AF77" s="254"/>
      <c r="AG77" s="255"/>
      <c r="AH77" s="255"/>
      <c r="AI77" s="255"/>
      <c r="AJ77" s="255"/>
      <c r="AK77" s="255"/>
      <c r="AL77" s="255"/>
      <c r="AM77" s="255"/>
      <c r="AN77" s="241"/>
      <c r="AO77" s="255"/>
      <c r="AP77" s="256"/>
      <c r="AQ77" s="256"/>
      <c r="AR77" s="256"/>
      <c r="AS77" s="256"/>
      <c r="AT77" s="256"/>
      <c r="AU77" s="256"/>
      <c r="AV77" s="256"/>
      <c r="AW77" s="259"/>
      <c r="AX77" s="256"/>
      <c r="AY77" s="257"/>
      <c r="AZ77" s="257"/>
      <c r="BA77" s="257"/>
      <c r="BB77" s="257"/>
      <c r="BC77" s="257"/>
      <c r="BD77" s="257"/>
      <c r="BE77" s="257"/>
      <c r="BF77" s="261"/>
      <c r="BG77" s="257"/>
    </row>
    <row r="78" spans="2:59" ht="48" x14ac:dyDescent="0.25">
      <c r="B78" s="235" t="s">
        <v>707</v>
      </c>
      <c r="C78" s="159"/>
      <c r="D78" s="47" t="s">
        <v>708</v>
      </c>
      <c r="E78" s="159" t="s">
        <v>709</v>
      </c>
      <c r="F78" s="159" t="s">
        <v>491</v>
      </c>
      <c r="G78" s="53" t="s">
        <v>426</v>
      </c>
      <c r="H78" s="159" t="s">
        <v>710</v>
      </c>
      <c r="I78" s="159" t="s">
        <v>298</v>
      </c>
      <c r="J78" s="222"/>
      <c r="K78" s="45">
        <f t="shared" si="25"/>
        <v>12312.237647058824</v>
      </c>
      <c r="L78" s="73">
        <v>923.42</v>
      </c>
      <c r="M78" s="73">
        <v>923.4176470588236</v>
      </c>
      <c r="N78" s="73"/>
      <c r="O78" s="73"/>
      <c r="P78" s="73">
        <v>10465.4</v>
      </c>
      <c r="Q78" s="222"/>
      <c r="R78" s="202">
        <v>2021</v>
      </c>
      <c r="S78" s="93"/>
      <c r="T78" s="93"/>
      <c r="U78" s="46"/>
      <c r="V78" s="41"/>
      <c r="W78" s="41"/>
      <c r="X78" s="243" t="s">
        <v>778</v>
      </c>
      <c r="Y78" s="243" t="s">
        <v>779</v>
      </c>
      <c r="Z78" s="274"/>
      <c r="AA78" s="254"/>
      <c r="AB78" s="254"/>
      <c r="AC78" s="254"/>
      <c r="AD78" s="254"/>
      <c r="AE78" s="242">
        <f t="shared" si="26"/>
        <v>0</v>
      </c>
      <c r="AF78" s="243">
        <v>28</v>
      </c>
      <c r="AG78" s="255"/>
      <c r="AH78" s="255"/>
      <c r="AI78" s="255"/>
      <c r="AJ78" s="255"/>
      <c r="AK78" s="255"/>
      <c r="AL78" s="255"/>
      <c r="AM78" s="255"/>
      <c r="AN78" s="241"/>
      <c r="AO78" s="255"/>
      <c r="AP78" s="256"/>
      <c r="AQ78" s="256"/>
      <c r="AR78" s="256"/>
      <c r="AS78" s="256"/>
      <c r="AT78" s="256"/>
      <c r="AU78" s="256"/>
      <c r="AV78" s="256"/>
      <c r="AW78" s="259"/>
      <c r="AX78" s="256"/>
      <c r="AY78" s="257"/>
      <c r="AZ78" s="257"/>
      <c r="BA78" s="257"/>
      <c r="BB78" s="257"/>
      <c r="BC78" s="257"/>
      <c r="BD78" s="257"/>
      <c r="BE78" s="257"/>
      <c r="BF78" s="261"/>
      <c r="BG78" s="257"/>
    </row>
    <row r="79" spans="2:59" ht="36" x14ac:dyDescent="0.25">
      <c r="B79" s="235" t="s">
        <v>711</v>
      </c>
      <c r="C79" s="159"/>
      <c r="D79" s="47" t="s">
        <v>712</v>
      </c>
      <c r="E79" s="159" t="s">
        <v>308</v>
      </c>
      <c r="F79" s="159" t="s">
        <v>491</v>
      </c>
      <c r="G79" s="53" t="s">
        <v>713</v>
      </c>
      <c r="H79" s="159" t="s">
        <v>710</v>
      </c>
      <c r="I79" s="159" t="s">
        <v>298</v>
      </c>
      <c r="J79" s="159"/>
      <c r="K79" s="45">
        <f t="shared" si="25"/>
        <v>4317</v>
      </c>
      <c r="L79" s="73">
        <v>323.7</v>
      </c>
      <c r="M79" s="73">
        <v>323.7</v>
      </c>
      <c r="N79" s="73"/>
      <c r="O79" s="73"/>
      <c r="P79" s="73">
        <v>3669.6</v>
      </c>
      <c r="Q79" s="159"/>
      <c r="R79" s="202">
        <v>2021</v>
      </c>
      <c r="S79" s="93"/>
      <c r="T79" s="93"/>
      <c r="U79" s="46"/>
      <c r="V79" s="41"/>
      <c r="W79" s="41"/>
      <c r="X79" s="243" t="s">
        <v>778</v>
      </c>
      <c r="Y79" s="243" t="s">
        <v>779</v>
      </c>
      <c r="Z79" s="274"/>
      <c r="AA79" s="254"/>
      <c r="AB79" s="254"/>
      <c r="AC79" s="254"/>
      <c r="AD79" s="254"/>
      <c r="AE79" s="242">
        <f t="shared" si="26"/>
        <v>0</v>
      </c>
      <c r="AF79" s="243">
        <v>9</v>
      </c>
      <c r="AG79" s="255"/>
      <c r="AH79" s="255"/>
      <c r="AI79" s="255"/>
      <c r="AJ79" s="255"/>
      <c r="AK79" s="255"/>
      <c r="AL79" s="255"/>
      <c r="AM79" s="255"/>
      <c r="AN79" s="241"/>
      <c r="AO79" s="255"/>
      <c r="AP79" s="256"/>
      <c r="AQ79" s="256"/>
      <c r="AR79" s="256"/>
      <c r="AS79" s="256"/>
      <c r="AT79" s="256"/>
      <c r="AU79" s="256"/>
      <c r="AV79" s="256"/>
      <c r="AW79" s="259"/>
      <c r="AX79" s="256"/>
      <c r="AY79" s="257"/>
      <c r="AZ79" s="257"/>
      <c r="BA79" s="257"/>
      <c r="BB79" s="257"/>
      <c r="BC79" s="257"/>
      <c r="BD79" s="257"/>
      <c r="BE79" s="257"/>
      <c r="BF79" s="261"/>
      <c r="BG79" s="257"/>
    </row>
    <row r="80" spans="2:59" ht="48" x14ac:dyDescent="0.25">
      <c r="B80" s="238" t="s">
        <v>714</v>
      </c>
      <c r="C80" s="297"/>
      <c r="D80" s="119" t="s">
        <v>715</v>
      </c>
      <c r="E80" s="53" t="s">
        <v>716</v>
      </c>
      <c r="F80" s="53" t="s">
        <v>491</v>
      </c>
      <c r="G80" s="53" t="s">
        <v>575</v>
      </c>
      <c r="H80" s="53" t="s">
        <v>710</v>
      </c>
      <c r="I80" s="53" t="s">
        <v>298</v>
      </c>
      <c r="J80" s="57"/>
      <c r="K80" s="45">
        <f t="shared" si="25"/>
        <v>10980</v>
      </c>
      <c r="L80" s="73">
        <v>823.5</v>
      </c>
      <c r="M80" s="73">
        <v>823.5</v>
      </c>
      <c r="N80" s="73"/>
      <c r="O80" s="73"/>
      <c r="P80" s="73">
        <v>9333</v>
      </c>
      <c r="Q80" s="99"/>
      <c r="R80" s="202">
        <v>2019</v>
      </c>
      <c r="S80" s="93"/>
      <c r="T80" s="93"/>
      <c r="U80" s="46"/>
      <c r="V80" s="41"/>
      <c r="W80" s="41"/>
      <c r="X80" s="243" t="s">
        <v>778</v>
      </c>
      <c r="Y80" s="243" t="s">
        <v>779</v>
      </c>
      <c r="Z80" s="274"/>
      <c r="AA80" s="254"/>
      <c r="AB80" s="254"/>
      <c r="AC80" s="254"/>
      <c r="AD80" s="254"/>
      <c r="AE80" s="242">
        <f t="shared" si="26"/>
        <v>0</v>
      </c>
      <c r="AF80" s="243">
        <v>25</v>
      </c>
      <c r="AG80" s="255"/>
      <c r="AH80" s="255"/>
      <c r="AI80" s="255"/>
      <c r="AJ80" s="255"/>
      <c r="AK80" s="255"/>
      <c r="AL80" s="255"/>
      <c r="AM80" s="255"/>
      <c r="AN80" s="241"/>
      <c r="AO80" s="255"/>
      <c r="AP80" s="256"/>
      <c r="AQ80" s="256"/>
      <c r="AR80" s="256"/>
      <c r="AS80" s="256"/>
      <c r="AT80" s="256"/>
      <c r="AU80" s="256"/>
      <c r="AV80" s="256"/>
      <c r="AW80" s="259"/>
      <c r="AX80" s="256"/>
      <c r="AY80" s="257"/>
      <c r="AZ80" s="257"/>
      <c r="BA80" s="257"/>
      <c r="BB80" s="257"/>
      <c r="BC80" s="257"/>
      <c r="BD80" s="257"/>
      <c r="BE80" s="257"/>
      <c r="BF80" s="261"/>
      <c r="BG80" s="257"/>
    </row>
    <row r="81" spans="2:59" ht="36" x14ac:dyDescent="0.25">
      <c r="B81" s="238" t="s">
        <v>717</v>
      </c>
      <c r="C81" s="297"/>
      <c r="D81" s="119" t="s">
        <v>718</v>
      </c>
      <c r="E81" s="53" t="s">
        <v>719</v>
      </c>
      <c r="F81" s="53" t="s">
        <v>491</v>
      </c>
      <c r="G81" s="53" t="s">
        <v>390</v>
      </c>
      <c r="H81" s="53" t="s">
        <v>710</v>
      </c>
      <c r="I81" s="53" t="s">
        <v>298</v>
      </c>
      <c r="J81" s="57"/>
      <c r="K81" s="45">
        <f t="shared" si="25"/>
        <v>17152.939999999999</v>
      </c>
      <c r="L81" s="73">
        <v>1286.47</v>
      </c>
      <c r="M81" s="73">
        <v>1286.47</v>
      </c>
      <c r="N81" s="73"/>
      <c r="O81" s="73"/>
      <c r="P81" s="73">
        <v>14580</v>
      </c>
      <c r="Q81" s="99"/>
      <c r="R81" s="202">
        <v>2021</v>
      </c>
      <c r="S81" s="93"/>
      <c r="T81" s="93"/>
      <c r="U81" s="46"/>
      <c r="V81" s="41"/>
      <c r="W81" s="41"/>
      <c r="X81" s="243" t="s">
        <v>778</v>
      </c>
      <c r="Y81" s="243" t="s">
        <v>779</v>
      </c>
      <c r="Z81" s="274"/>
      <c r="AA81" s="254"/>
      <c r="AB81" s="254"/>
      <c r="AC81" s="254"/>
      <c r="AD81" s="254"/>
      <c r="AE81" s="242">
        <f t="shared" si="26"/>
        <v>0</v>
      </c>
      <c r="AF81" s="243">
        <v>38</v>
      </c>
      <c r="AG81" s="255"/>
      <c r="AH81" s="255"/>
      <c r="AI81" s="255"/>
      <c r="AJ81" s="255"/>
      <c r="AK81" s="255"/>
      <c r="AL81" s="255"/>
      <c r="AM81" s="255"/>
      <c r="AN81" s="241"/>
      <c r="AO81" s="255"/>
      <c r="AP81" s="256"/>
      <c r="AQ81" s="256"/>
      <c r="AR81" s="256"/>
      <c r="AS81" s="256"/>
      <c r="AT81" s="256"/>
      <c r="AU81" s="256"/>
      <c r="AV81" s="256"/>
      <c r="AW81" s="259"/>
      <c r="AX81" s="256"/>
      <c r="AY81" s="257"/>
      <c r="AZ81" s="257"/>
      <c r="BA81" s="257"/>
      <c r="BB81" s="257"/>
      <c r="BC81" s="257"/>
      <c r="BD81" s="257"/>
      <c r="BE81" s="257"/>
      <c r="BF81" s="261"/>
      <c r="BG81" s="257"/>
    </row>
    <row r="82" spans="2:59" x14ac:dyDescent="0.25">
      <c r="B82" s="105" t="s">
        <v>513</v>
      </c>
      <c r="C82" s="100"/>
      <c r="D82" s="365" t="s">
        <v>514</v>
      </c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7"/>
      <c r="U82" s="139"/>
      <c r="V82" s="139"/>
      <c r="W82" s="139"/>
      <c r="X82" s="254"/>
      <c r="Y82" s="254"/>
      <c r="Z82" s="254"/>
      <c r="AA82" s="254"/>
      <c r="AB82" s="254"/>
      <c r="AC82" s="254"/>
      <c r="AD82" s="254"/>
      <c r="AE82" s="254"/>
      <c r="AF82" s="254"/>
      <c r="AG82" s="255"/>
      <c r="AH82" s="255"/>
      <c r="AI82" s="255"/>
      <c r="AJ82" s="255"/>
      <c r="AK82" s="255"/>
      <c r="AL82" s="255"/>
      <c r="AM82" s="255"/>
      <c r="AN82" s="241"/>
      <c r="AO82" s="255"/>
      <c r="AP82" s="256"/>
      <c r="AQ82" s="256"/>
      <c r="AR82" s="256"/>
      <c r="AS82" s="256"/>
      <c r="AT82" s="256"/>
      <c r="AU82" s="256"/>
      <c r="AV82" s="256"/>
      <c r="AW82" s="259"/>
      <c r="AX82" s="256"/>
      <c r="AY82" s="257"/>
      <c r="AZ82" s="257"/>
      <c r="BA82" s="257"/>
      <c r="BB82" s="257"/>
      <c r="BC82" s="257"/>
      <c r="BD82" s="257"/>
      <c r="BE82" s="257"/>
      <c r="BF82" s="261"/>
      <c r="BG82" s="257"/>
    </row>
    <row r="83" spans="2:59" ht="24" x14ac:dyDescent="0.25">
      <c r="B83" s="159" t="s">
        <v>720</v>
      </c>
      <c r="C83" s="159"/>
      <c r="D83" s="47" t="s">
        <v>721</v>
      </c>
      <c r="E83" s="53" t="s">
        <v>308</v>
      </c>
      <c r="F83" s="53" t="s">
        <v>491</v>
      </c>
      <c r="G83" s="53" t="s">
        <v>713</v>
      </c>
      <c r="H83" s="159" t="s">
        <v>722</v>
      </c>
      <c r="I83" s="159" t="s">
        <v>298</v>
      </c>
      <c r="J83" s="222"/>
      <c r="K83" s="45">
        <f t="shared" si="25"/>
        <v>33913.85</v>
      </c>
      <c r="L83" s="73">
        <v>2543.5300000000002</v>
      </c>
      <c r="M83" s="73">
        <v>2543.5300000000002</v>
      </c>
      <c r="N83" s="73"/>
      <c r="O83" s="73"/>
      <c r="P83" s="73">
        <v>28826.79</v>
      </c>
      <c r="Q83" s="222"/>
      <c r="R83" s="202">
        <v>2020</v>
      </c>
      <c r="S83" s="93"/>
      <c r="T83" s="93"/>
      <c r="U83" s="46"/>
      <c r="V83" s="41"/>
      <c r="W83" s="41"/>
      <c r="X83" s="244" t="s">
        <v>780</v>
      </c>
      <c r="Y83" s="244" t="s">
        <v>781</v>
      </c>
      <c r="Z83" s="275"/>
      <c r="AA83" s="275"/>
      <c r="AB83" s="275"/>
      <c r="AC83" s="275"/>
      <c r="AD83" s="276"/>
      <c r="AE83" s="276"/>
      <c r="AF83" s="244">
        <v>2500</v>
      </c>
      <c r="AG83" s="244" t="s">
        <v>782</v>
      </c>
      <c r="AH83" s="244" t="s">
        <v>783</v>
      </c>
      <c r="AI83" s="275"/>
      <c r="AJ83" s="277"/>
      <c r="AK83" s="277"/>
      <c r="AL83" s="277"/>
      <c r="AM83" s="277"/>
      <c r="AN83" s="241"/>
      <c r="AO83" s="244">
        <v>1</v>
      </c>
      <c r="AP83" s="256"/>
      <c r="AQ83" s="256"/>
      <c r="AR83" s="256"/>
      <c r="AS83" s="256"/>
      <c r="AT83" s="256"/>
      <c r="AU83" s="256"/>
      <c r="AV83" s="256"/>
      <c r="AW83" s="259"/>
      <c r="AX83" s="256"/>
      <c r="AY83" s="257"/>
      <c r="AZ83" s="257"/>
      <c r="BA83" s="257"/>
      <c r="BB83" s="257"/>
      <c r="BC83" s="257"/>
      <c r="BD83" s="257"/>
      <c r="BE83" s="257"/>
      <c r="BF83" s="261"/>
      <c r="BG83" s="257"/>
    </row>
    <row r="84" spans="2:59" ht="24" x14ac:dyDescent="0.25">
      <c r="B84" s="159" t="s">
        <v>723</v>
      </c>
      <c r="C84" s="159"/>
      <c r="D84" s="47" t="s">
        <v>724</v>
      </c>
      <c r="E84" s="53" t="s">
        <v>725</v>
      </c>
      <c r="F84" s="53" t="s">
        <v>491</v>
      </c>
      <c r="G84" s="53" t="s">
        <v>713</v>
      </c>
      <c r="H84" s="159" t="s">
        <v>722</v>
      </c>
      <c r="I84" s="159" t="s">
        <v>298</v>
      </c>
      <c r="J84" s="222"/>
      <c r="K84" s="45">
        <f t="shared" si="25"/>
        <v>34079.07</v>
      </c>
      <c r="L84" s="73"/>
      <c r="M84" s="73">
        <v>2555.9299999999998</v>
      </c>
      <c r="N84" s="73">
        <v>2555.9299999999998</v>
      </c>
      <c r="O84" s="73"/>
      <c r="P84" s="73">
        <v>28967.21</v>
      </c>
      <c r="Q84" s="222"/>
      <c r="R84" s="202">
        <v>2019</v>
      </c>
      <c r="S84" s="93"/>
      <c r="T84" s="93"/>
      <c r="U84" s="46"/>
      <c r="V84" s="41"/>
      <c r="W84" s="41"/>
      <c r="X84" s="244" t="s">
        <v>780</v>
      </c>
      <c r="Y84" s="244" t="s">
        <v>781</v>
      </c>
      <c r="Z84" s="275"/>
      <c r="AA84" s="275"/>
      <c r="AB84" s="275"/>
      <c r="AC84" s="275"/>
      <c r="AD84" s="276"/>
      <c r="AE84" s="276"/>
      <c r="AF84" s="244">
        <v>3700</v>
      </c>
      <c r="AG84" s="244" t="s">
        <v>782</v>
      </c>
      <c r="AH84" s="244" t="s">
        <v>783</v>
      </c>
      <c r="AI84" s="275"/>
      <c r="AJ84" s="277"/>
      <c r="AK84" s="277"/>
      <c r="AL84" s="277"/>
      <c r="AM84" s="277"/>
      <c r="AN84" s="241"/>
      <c r="AO84" s="244">
        <v>1</v>
      </c>
      <c r="AP84" s="256"/>
      <c r="AQ84" s="256"/>
      <c r="AR84" s="256"/>
      <c r="AS84" s="256"/>
      <c r="AT84" s="256"/>
      <c r="AU84" s="256"/>
      <c r="AV84" s="256"/>
      <c r="AW84" s="259"/>
      <c r="AX84" s="256"/>
      <c r="AY84" s="257"/>
      <c r="AZ84" s="257"/>
      <c r="BA84" s="257"/>
      <c r="BB84" s="257"/>
      <c r="BC84" s="257"/>
      <c r="BD84" s="257"/>
      <c r="BE84" s="257"/>
      <c r="BF84" s="261"/>
      <c r="BG84" s="257"/>
    </row>
    <row r="85" spans="2:59" ht="36" x14ac:dyDescent="0.25">
      <c r="B85" s="159" t="s">
        <v>726</v>
      </c>
      <c r="C85" s="159"/>
      <c r="D85" s="47" t="s">
        <v>727</v>
      </c>
      <c r="E85" s="53" t="s">
        <v>728</v>
      </c>
      <c r="F85" s="53" t="s">
        <v>491</v>
      </c>
      <c r="G85" s="53" t="s">
        <v>729</v>
      </c>
      <c r="H85" s="159" t="s">
        <v>722</v>
      </c>
      <c r="I85" s="159" t="s">
        <v>298</v>
      </c>
      <c r="J85" s="222"/>
      <c r="K85" s="45">
        <f t="shared" si="25"/>
        <v>178381.68000000002</v>
      </c>
      <c r="L85" s="73">
        <v>13378.64</v>
      </c>
      <c r="M85" s="73">
        <v>13378.62</v>
      </c>
      <c r="N85" s="73"/>
      <c r="O85" s="73"/>
      <c r="P85" s="73">
        <v>151624.42000000001</v>
      </c>
      <c r="Q85" s="222"/>
      <c r="R85" s="202">
        <v>2020</v>
      </c>
      <c r="S85" s="93"/>
      <c r="T85" s="93"/>
      <c r="U85" s="46"/>
      <c r="V85" s="41"/>
      <c r="W85" s="41"/>
      <c r="X85" s="244" t="s">
        <v>780</v>
      </c>
      <c r="Y85" s="244" t="s">
        <v>781</v>
      </c>
      <c r="Z85" s="275"/>
      <c r="AA85" s="275"/>
      <c r="AB85" s="275"/>
      <c r="AC85" s="275"/>
      <c r="AD85" s="276"/>
      <c r="AE85" s="276"/>
      <c r="AF85" s="244">
        <v>16488</v>
      </c>
      <c r="AG85" s="244" t="s">
        <v>782</v>
      </c>
      <c r="AH85" s="244" t="s">
        <v>783</v>
      </c>
      <c r="AI85" s="275"/>
      <c r="AJ85" s="277"/>
      <c r="AK85" s="277"/>
      <c r="AL85" s="277"/>
      <c r="AM85" s="277"/>
      <c r="AN85" s="241"/>
      <c r="AO85" s="244">
        <v>5</v>
      </c>
      <c r="AP85" s="256"/>
      <c r="AQ85" s="256"/>
      <c r="AR85" s="256"/>
      <c r="AS85" s="256"/>
      <c r="AT85" s="256"/>
      <c r="AU85" s="256"/>
      <c r="AV85" s="256"/>
      <c r="AW85" s="259"/>
      <c r="AX85" s="256"/>
      <c r="AY85" s="257"/>
      <c r="AZ85" s="257"/>
      <c r="BA85" s="257"/>
      <c r="BB85" s="257"/>
      <c r="BC85" s="257"/>
      <c r="BD85" s="257"/>
      <c r="BE85" s="257"/>
      <c r="BF85" s="261"/>
      <c r="BG85" s="257"/>
    </row>
    <row r="86" spans="2:59" ht="36" x14ac:dyDescent="0.25">
      <c r="B86" s="159" t="s">
        <v>730</v>
      </c>
      <c r="C86" s="159"/>
      <c r="D86" s="47" t="s">
        <v>731</v>
      </c>
      <c r="E86" s="53" t="s">
        <v>732</v>
      </c>
      <c r="F86" s="53" t="s">
        <v>491</v>
      </c>
      <c r="G86" s="53" t="s">
        <v>729</v>
      </c>
      <c r="H86" s="159" t="s">
        <v>722</v>
      </c>
      <c r="I86" s="159" t="s">
        <v>298</v>
      </c>
      <c r="J86" s="222"/>
      <c r="K86" s="45">
        <f t="shared" si="25"/>
        <v>24189.1</v>
      </c>
      <c r="L86" s="73"/>
      <c r="M86" s="73">
        <v>1814.18</v>
      </c>
      <c r="N86" s="73">
        <v>1814.19</v>
      </c>
      <c r="O86" s="73"/>
      <c r="P86" s="73">
        <v>20560.73</v>
      </c>
      <c r="Q86" s="222"/>
      <c r="R86" s="202">
        <v>2019</v>
      </c>
      <c r="S86" s="93"/>
      <c r="T86" s="93"/>
      <c r="U86" s="46"/>
      <c r="V86" s="41"/>
      <c r="W86" s="41"/>
      <c r="X86" s="244" t="s">
        <v>780</v>
      </c>
      <c r="Y86" s="244" t="s">
        <v>781</v>
      </c>
      <c r="Z86" s="275"/>
      <c r="AA86" s="275"/>
      <c r="AB86" s="275"/>
      <c r="AC86" s="275"/>
      <c r="AD86" s="276"/>
      <c r="AE86" s="276"/>
      <c r="AF86" s="244">
        <v>2513</v>
      </c>
      <c r="AG86" s="244" t="s">
        <v>782</v>
      </c>
      <c r="AH86" s="244" t="s">
        <v>783</v>
      </c>
      <c r="AI86" s="275"/>
      <c r="AJ86" s="277"/>
      <c r="AK86" s="277"/>
      <c r="AL86" s="277"/>
      <c r="AM86" s="277"/>
      <c r="AN86" s="241"/>
      <c r="AO86" s="244">
        <v>1</v>
      </c>
      <c r="AP86" s="256"/>
      <c r="AQ86" s="256"/>
      <c r="AR86" s="256"/>
      <c r="AS86" s="256"/>
      <c r="AT86" s="256"/>
      <c r="AU86" s="256"/>
      <c r="AV86" s="256"/>
      <c r="AW86" s="259"/>
      <c r="AX86" s="256"/>
      <c r="AY86" s="257"/>
      <c r="AZ86" s="257"/>
      <c r="BA86" s="257"/>
      <c r="BB86" s="257"/>
      <c r="BC86" s="257"/>
      <c r="BD86" s="257"/>
      <c r="BE86" s="257"/>
      <c r="BF86" s="261"/>
      <c r="BG86" s="257"/>
    </row>
    <row r="87" spans="2:59" ht="36" x14ac:dyDescent="0.25">
      <c r="B87" s="159" t="s">
        <v>733</v>
      </c>
      <c r="C87" s="159"/>
      <c r="D87" s="47" t="s">
        <v>734</v>
      </c>
      <c r="E87" s="53" t="s">
        <v>735</v>
      </c>
      <c r="F87" s="53" t="s">
        <v>491</v>
      </c>
      <c r="G87" s="53" t="s">
        <v>729</v>
      </c>
      <c r="H87" s="159" t="s">
        <v>722</v>
      </c>
      <c r="I87" s="159" t="s">
        <v>298</v>
      </c>
      <c r="J87" s="222"/>
      <c r="K87" s="45">
        <f t="shared" si="25"/>
        <v>23626.350000000002</v>
      </c>
      <c r="L87" s="73"/>
      <c r="M87" s="73">
        <v>1771.97</v>
      </c>
      <c r="N87" s="73">
        <v>1771.98</v>
      </c>
      <c r="O87" s="73"/>
      <c r="P87" s="73">
        <v>20082.400000000001</v>
      </c>
      <c r="Q87" s="222"/>
      <c r="R87" s="202">
        <v>2019</v>
      </c>
      <c r="S87" s="93"/>
      <c r="T87" s="93"/>
      <c r="U87" s="46"/>
      <c r="V87" s="41"/>
      <c r="W87" s="41"/>
      <c r="X87" s="244" t="s">
        <v>780</v>
      </c>
      <c r="Y87" s="244" t="s">
        <v>781</v>
      </c>
      <c r="Z87" s="275"/>
      <c r="AA87" s="275"/>
      <c r="AB87" s="275"/>
      <c r="AC87" s="275"/>
      <c r="AD87" s="276"/>
      <c r="AE87" s="276"/>
      <c r="AF87" s="244">
        <v>2472</v>
      </c>
      <c r="AG87" s="244" t="s">
        <v>782</v>
      </c>
      <c r="AH87" s="244" t="s">
        <v>783</v>
      </c>
      <c r="AI87" s="275"/>
      <c r="AJ87" s="277"/>
      <c r="AK87" s="277"/>
      <c r="AL87" s="277"/>
      <c r="AM87" s="277"/>
      <c r="AN87" s="241"/>
      <c r="AO87" s="244">
        <v>1</v>
      </c>
      <c r="AP87" s="256"/>
      <c r="AQ87" s="256"/>
      <c r="AR87" s="256"/>
      <c r="AS87" s="256"/>
      <c r="AT87" s="256"/>
      <c r="AU87" s="256"/>
      <c r="AV87" s="256"/>
      <c r="AW87" s="259"/>
      <c r="AX87" s="256"/>
      <c r="AY87" s="257"/>
      <c r="AZ87" s="257"/>
      <c r="BA87" s="257"/>
      <c r="BB87" s="257"/>
      <c r="BC87" s="257"/>
      <c r="BD87" s="257"/>
      <c r="BE87" s="257"/>
      <c r="BF87" s="261"/>
      <c r="BG87" s="257"/>
    </row>
    <row r="88" spans="2:59" ht="36" x14ac:dyDescent="0.25">
      <c r="B88" s="159" t="s">
        <v>736</v>
      </c>
      <c r="C88" s="159"/>
      <c r="D88" s="47" t="s">
        <v>737</v>
      </c>
      <c r="E88" s="53" t="s">
        <v>738</v>
      </c>
      <c r="F88" s="53" t="s">
        <v>491</v>
      </c>
      <c r="G88" s="53" t="s">
        <v>729</v>
      </c>
      <c r="H88" s="159" t="s">
        <v>722</v>
      </c>
      <c r="I88" s="159" t="s">
        <v>298</v>
      </c>
      <c r="J88" s="222"/>
      <c r="K88" s="45">
        <f t="shared" si="25"/>
        <v>14262.54</v>
      </c>
      <c r="L88" s="73"/>
      <c r="M88" s="73">
        <v>1069.69</v>
      </c>
      <c r="N88" s="73">
        <v>1069.7</v>
      </c>
      <c r="O88" s="73"/>
      <c r="P88" s="73">
        <v>12123.15</v>
      </c>
      <c r="Q88" s="222"/>
      <c r="R88" s="202">
        <v>2019</v>
      </c>
      <c r="S88" s="93"/>
      <c r="T88" s="93"/>
      <c r="U88" s="46"/>
      <c r="V88" s="41"/>
      <c r="W88" s="41"/>
      <c r="X88" s="244" t="s">
        <v>780</v>
      </c>
      <c r="Y88" s="244" t="s">
        <v>781</v>
      </c>
      <c r="Z88" s="275"/>
      <c r="AA88" s="275"/>
      <c r="AB88" s="275"/>
      <c r="AC88" s="275"/>
      <c r="AD88" s="276"/>
      <c r="AE88" s="276"/>
      <c r="AF88" s="244">
        <v>1409</v>
      </c>
      <c r="AG88" s="244" t="s">
        <v>782</v>
      </c>
      <c r="AH88" s="244" t="s">
        <v>783</v>
      </c>
      <c r="AI88" s="275"/>
      <c r="AJ88" s="277"/>
      <c r="AK88" s="277"/>
      <c r="AL88" s="277"/>
      <c r="AM88" s="277"/>
      <c r="AN88" s="241"/>
      <c r="AO88" s="244">
        <v>1</v>
      </c>
      <c r="AP88" s="256"/>
      <c r="AQ88" s="256"/>
      <c r="AR88" s="256"/>
      <c r="AS88" s="256"/>
      <c r="AT88" s="256"/>
      <c r="AU88" s="256"/>
      <c r="AV88" s="256"/>
      <c r="AW88" s="259"/>
      <c r="AX88" s="256"/>
      <c r="AY88" s="257"/>
      <c r="AZ88" s="257"/>
      <c r="BA88" s="257"/>
      <c r="BB88" s="257"/>
      <c r="BC88" s="257"/>
      <c r="BD88" s="257"/>
      <c r="BE88" s="257"/>
      <c r="BF88" s="261"/>
      <c r="BG88" s="257"/>
    </row>
    <row r="89" spans="2:59" ht="36" x14ac:dyDescent="0.25">
      <c r="B89" s="159" t="s">
        <v>739</v>
      </c>
      <c r="C89" s="159"/>
      <c r="D89" s="47" t="s">
        <v>740</v>
      </c>
      <c r="E89" s="53" t="s">
        <v>741</v>
      </c>
      <c r="F89" s="53" t="s">
        <v>491</v>
      </c>
      <c r="G89" s="53" t="s">
        <v>729</v>
      </c>
      <c r="H89" s="159" t="s">
        <v>722</v>
      </c>
      <c r="I89" s="159" t="s">
        <v>298</v>
      </c>
      <c r="J89" s="222"/>
      <c r="K89" s="45">
        <f t="shared" si="25"/>
        <v>21476.829999999998</v>
      </c>
      <c r="L89" s="73"/>
      <c r="M89" s="73">
        <v>1610.76</v>
      </c>
      <c r="N89" s="73">
        <v>1610.77</v>
      </c>
      <c r="O89" s="73"/>
      <c r="P89" s="73">
        <v>18255.3</v>
      </c>
      <c r="Q89" s="222"/>
      <c r="R89" s="202">
        <v>2019</v>
      </c>
      <c r="S89" s="93"/>
      <c r="T89" s="93"/>
      <c r="U89" s="46"/>
      <c r="V89" s="41"/>
      <c r="W89" s="41"/>
      <c r="X89" s="244" t="s">
        <v>780</v>
      </c>
      <c r="Y89" s="244" t="s">
        <v>781</v>
      </c>
      <c r="Z89" s="275"/>
      <c r="AA89" s="275"/>
      <c r="AB89" s="275"/>
      <c r="AC89" s="275"/>
      <c r="AD89" s="276"/>
      <c r="AE89" s="276"/>
      <c r="AF89" s="244">
        <v>2354</v>
      </c>
      <c r="AG89" s="244" t="s">
        <v>782</v>
      </c>
      <c r="AH89" s="244" t="s">
        <v>783</v>
      </c>
      <c r="AI89" s="275"/>
      <c r="AJ89" s="277"/>
      <c r="AK89" s="277"/>
      <c r="AL89" s="277"/>
      <c r="AM89" s="277"/>
      <c r="AN89" s="241"/>
      <c r="AO89" s="244">
        <v>1</v>
      </c>
      <c r="AP89" s="256"/>
      <c r="AQ89" s="256"/>
      <c r="AR89" s="256"/>
      <c r="AS89" s="256"/>
      <c r="AT89" s="256"/>
      <c r="AU89" s="256"/>
      <c r="AV89" s="256"/>
      <c r="AW89" s="259"/>
      <c r="AX89" s="256"/>
      <c r="AY89" s="257"/>
      <c r="AZ89" s="257"/>
      <c r="BA89" s="257"/>
      <c r="BB89" s="257"/>
      <c r="BC89" s="257"/>
      <c r="BD89" s="257"/>
      <c r="BE89" s="257"/>
      <c r="BF89" s="261"/>
      <c r="BG89" s="257"/>
    </row>
    <row r="90" spans="2:59" ht="24" x14ac:dyDescent="0.25">
      <c r="B90" s="159" t="s">
        <v>742</v>
      </c>
      <c r="C90" s="159"/>
      <c r="D90" s="47" t="s">
        <v>743</v>
      </c>
      <c r="E90" s="53" t="s">
        <v>744</v>
      </c>
      <c r="F90" s="53" t="s">
        <v>491</v>
      </c>
      <c r="G90" s="53" t="s">
        <v>342</v>
      </c>
      <c r="H90" s="159" t="s">
        <v>722</v>
      </c>
      <c r="I90" s="159" t="s">
        <v>298</v>
      </c>
      <c r="J90" s="222"/>
      <c r="K90" s="45">
        <f t="shared" si="25"/>
        <v>100228.23</v>
      </c>
      <c r="L90" s="73">
        <v>7517.12</v>
      </c>
      <c r="M90" s="73">
        <v>7517.11</v>
      </c>
      <c r="N90" s="73"/>
      <c r="O90" s="73"/>
      <c r="P90" s="73">
        <v>85194</v>
      </c>
      <c r="Q90" s="222"/>
      <c r="R90" s="202">
        <v>2020</v>
      </c>
      <c r="S90" s="93"/>
      <c r="T90" s="93"/>
      <c r="U90" s="46"/>
      <c r="V90" s="41"/>
      <c r="W90" s="41"/>
      <c r="X90" s="244" t="s">
        <v>780</v>
      </c>
      <c r="Y90" s="244" t="s">
        <v>781</v>
      </c>
      <c r="Z90" s="275"/>
      <c r="AA90" s="275"/>
      <c r="AB90" s="275"/>
      <c r="AC90" s="275"/>
      <c r="AD90" s="276"/>
      <c r="AE90" s="276"/>
      <c r="AF90" s="244">
        <v>6018</v>
      </c>
      <c r="AG90" s="244" t="s">
        <v>782</v>
      </c>
      <c r="AH90" s="244" t="s">
        <v>783</v>
      </c>
      <c r="AI90" s="275"/>
      <c r="AJ90" s="277"/>
      <c r="AK90" s="277"/>
      <c r="AL90" s="277"/>
      <c r="AM90" s="277"/>
      <c r="AN90" s="241"/>
      <c r="AO90" s="244">
        <v>1</v>
      </c>
      <c r="AP90" s="256"/>
      <c r="AQ90" s="256"/>
      <c r="AR90" s="256"/>
      <c r="AS90" s="256"/>
      <c r="AT90" s="256"/>
      <c r="AU90" s="256"/>
      <c r="AV90" s="256"/>
      <c r="AW90" s="259"/>
      <c r="AX90" s="256"/>
      <c r="AY90" s="257"/>
      <c r="AZ90" s="257"/>
      <c r="BA90" s="257"/>
      <c r="BB90" s="257"/>
      <c r="BC90" s="257"/>
      <c r="BD90" s="257"/>
      <c r="BE90" s="257"/>
      <c r="BF90" s="261"/>
      <c r="BG90" s="257"/>
    </row>
    <row r="91" spans="2:59" ht="36" x14ac:dyDescent="0.25">
      <c r="B91" s="159" t="s">
        <v>745</v>
      </c>
      <c r="C91" s="159"/>
      <c r="D91" s="47" t="s">
        <v>746</v>
      </c>
      <c r="E91" s="53" t="s">
        <v>747</v>
      </c>
      <c r="F91" s="53" t="s">
        <v>491</v>
      </c>
      <c r="G91" s="53" t="s">
        <v>342</v>
      </c>
      <c r="H91" s="159" t="s">
        <v>722</v>
      </c>
      <c r="I91" s="159" t="s">
        <v>298</v>
      </c>
      <c r="J91" s="222"/>
      <c r="K91" s="45">
        <f t="shared" si="25"/>
        <v>52792.94</v>
      </c>
      <c r="L91" s="73"/>
      <c r="M91" s="73">
        <v>3959.47</v>
      </c>
      <c r="N91" s="73">
        <v>3959.47</v>
      </c>
      <c r="O91" s="73"/>
      <c r="P91" s="73">
        <v>44874</v>
      </c>
      <c r="Q91" s="222"/>
      <c r="R91" s="202">
        <v>2020</v>
      </c>
      <c r="S91" s="93"/>
      <c r="T91" s="93"/>
      <c r="U91" s="46"/>
      <c r="V91" s="41"/>
      <c r="W91" s="41"/>
      <c r="X91" s="244" t="s">
        <v>780</v>
      </c>
      <c r="Y91" s="244" t="s">
        <v>781</v>
      </c>
      <c r="Z91" s="275"/>
      <c r="AA91" s="275"/>
      <c r="AB91" s="275"/>
      <c r="AC91" s="275"/>
      <c r="AD91" s="276"/>
      <c r="AE91" s="276"/>
      <c r="AF91" s="244">
        <v>2231</v>
      </c>
      <c r="AG91" s="244" t="s">
        <v>782</v>
      </c>
      <c r="AH91" s="244" t="s">
        <v>783</v>
      </c>
      <c r="AI91" s="275"/>
      <c r="AJ91" s="277"/>
      <c r="AK91" s="277"/>
      <c r="AL91" s="277"/>
      <c r="AM91" s="277"/>
      <c r="AN91" s="241"/>
      <c r="AO91" s="244">
        <v>3</v>
      </c>
      <c r="AP91" s="256"/>
      <c r="AQ91" s="256"/>
      <c r="AR91" s="256"/>
      <c r="AS91" s="256"/>
      <c r="AT91" s="256"/>
      <c r="AU91" s="256"/>
      <c r="AV91" s="256"/>
      <c r="AW91" s="259"/>
      <c r="AX91" s="256"/>
      <c r="AY91" s="257"/>
      <c r="AZ91" s="257"/>
      <c r="BA91" s="257"/>
      <c r="BB91" s="257"/>
      <c r="BC91" s="257"/>
      <c r="BD91" s="257"/>
      <c r="BE91" s="257"/>
      <c r="BF91" s="261"/>
      <c r="BG91" s="257"/>
    </row>
    <row r="92" spans="2:59" ht="36" x14ac:dyDescent="0.25">
      <c r="B92" s="159" t="s">
        <v>748</v>
      </c>
      <c r="C92" s="159"/>
      <c r="D92" s="47" t="s">
        <v>749</v>
      </c>
      <c r="E92" s="53" t="s">
        <v>750</v>
      </c>
      <c r="F92" s="53" t="s">
        <v>491</v>
      </c>
      <c r="G92" s="53" t="s">
        <v>342</v>
      </c>
      <c r="H92" s="159" t="s">
        <v>722</v>
      </c>
      <c r="I92" s="159" t="s">
        <v>298</v>
      </c>
      <c r="J92" s="222"/>
      <c r="K92" s="45">
        <f t="shared" si="25"/>
        <v>21270.58</v>
      </c>
      <c r="L92" s="73">
        <v>1595.29</v>
      </c>
      <c r="M92" s="73">
        <v>1595.29</v>
      </c>
      <c r="N92" s="73"/>
      <c r="O92" s="73"/>
      <c r="P92" s="73">
        <v>18080</v>
      </c>
      <c r="Q92" s="222"/>
      <c r="R92" s="202">
        <v>2020</v>
      </c>
      <c r="S92" s="93"/>
      <c r="T92" s="93"/>
      <c r="U92" s="46"/>
      <c r="V92" s="41"/>
      <c r="W92" s="41"/>
      <c r="X92" s="244" t="s">
        <v>780</v>
      </c>
      <c r="Y92" s="244" t="s">
        <v>781</v>
      </c>
      <c r="Z92" s="275"/>
      <c r="AA92" s="275"/>
      <c r="AB92" s="275"/>
      <c r="AC92" s="275"/>
      <c r="AD92" s="276"/>
      <c r="AE92" s="276"/>
      <c r="AF92" s="244">
        <v>1137</v>
      </c>
      <c r="AG92" s="244" t="s">
        <v>782</v>
      </c>
      <c r="AH92" s="244" t="s">
        <v>783</v>
      </c>
      <c r="AI92" s="275"/>
      <c r="AJ92" s="277"/>
      <c r="AK92" s="277"/>
      <c r="AL92" s="277"/>
      <c r="AM92" s="277"/>
      <c r="AN92" s="241"/>
      <c r="AO92" s="244">
        <v>1</v>
      </c>
      <c r="AP92" s="256"/>
      <c r="AQ92" s="256"/>
      <c r="AR92" s="256"/>
      <c r="AS92" s="256"/>
      <c r="AT92" s="256"/>
      <c r="AU92" s="256"/>
      <c r="AV92" s="256"/>
      <c r="AW92" s="259"/>
      <c r="AX92" s="256"/>
      <c r="AY92" s="257"/>
      <c r="AZ92" s="257"/>
      <c r="BA92" s="257"/>
      <c r="BB92" s="257"/>
      <c r="BC92" s="257"/>
      <c r="BD92" s="257"/>
      <c r="BE92" s="257"/>
      <c r="BF92" s="261"/>
      <c r="BG92" s="257"/>
    </row>
    <row r="93" spans="2:59" ht="36" x14ac:dyDescent="0.25">
      <c r="B93" s="159" t="s">
        <v>751</v>
      </c>
      <c r="C93" s="159"/>
      <c r="D93" s="47" t="s">
        <v>752</v>
      </c>
      <c r="E93" s="53" t="s">
        <v>753</v>
      </c>
      <c r="F93" s="53" t="s">
        <v>491</v>
      </c>
      <c r="G93" s="53" t="s">
        <v>342</v>
      </c>
      <c r="H93" s="159" t="s">
        <v>722</v>
      </c>
      <c r="I93" s="159" t="s">
        <v>298</v>
      </c>
      <c r="J93" s="222"/>
      <c r="K93" s="45">
        <f t="shared" si="25"/>
        <v>18170.59</v>
      </c>
      <c r="L93" s="73">
        <v>1362.8</v>
      </c>
      <c r="M93" s="73">
        <v>1362.79</v>
      </c>
      <c r="N93" s="73"/>
      <c r="O93" s="73"/>
      <c r="P93" s="73">
        <v>15445</v>
      </c>
      <c r="Q93" s="222"/>
      <c r="R93" s="202">
        <v>2020</v>
      </c>
      <c r="S93" s="93"/>
      <c r="T93" s="93"/>
      <c r="U93" s="46"/>
      <c r="V93" s="41"/>
      <c r="W93" s="41"/>
      <c r="X93" s="244" t="s">
        <v>780</v>
      </c>
      <c r="Y93" s="244" t="s">
        <v>781</v>
      </c>
      <c r="Z93" s="275"/>
      <c r="AA93" s="275"/>
      <c r="AB93" s="275"/>
      <c r="AC93" s="275"/>
      <c r="AD93" s="276"/>
      <c r="AE93" s="276"/>
      <c r="AF93" s="244">
        <v>1141</v>
      </c>
      <c r="AG93" s="244" t="s">
        <v>782</v>
      </c>
      <c r="AH93" s="244" t="s">
        <v>783</v>
      </c>
      <c r="AI93" s="275"/>
      <c r="AJ93" s="277"/>
      <c r="AK93" s="277"/>
      <c r="AL93" s="277"/>
      <c r="AM93" s="277"/>
      <c r="AN93" s="241"/>
      <c r="AO93" s="244">
        <v>1</v>
      </c>
      <c r="AP93" s="256"/>
      <c r="AQ93" s="256"/>
      <c r="AR93" s="256"/>
      <c r="AS93" s="256"/>
      <c r="AT93" s="256"/>
      <c r="AU93" s="256"/>
      <c r="AV93" s="256"/>
      <c r="AW93" s="259"/>
      <c r="AX93" s="256"/>
      <c r="AY93" s="257"/>
      <c r="AZ93" s="257"/>
      <c r="BA93" s="257"/>
      <c r="BB93" s="257"/>
      <c r="BC93" s="257"/>
      <c r="BD93" s="257"/>
      <c r="BE93" s="257"/>
      <c r="BF93" s="261"/>
      <c r="BG93" s="257"/>
    </row>
    <row r="94" spans="2:59" ht="36" x14ac:dyDescent="0.25">
      <c r="B94" s="159" t="s">
        <v>754</v>
      </c>
      <c r="C94" s="159"/>
      <c r="D94" s="47" t="s">
        <v>755</v>
      </c>
      <c r="E94" s="53" t="s">
        <v>756</v>
      </c>
      <c r="F94" s="53" t="s">
        <v>491</v>
      </c>
      <c r="G94" s="53" t="s">
        <v>342</v>
      </c>
      <c r="H94" s="159" t="s">
        <v>722</v>
      </c>
      <c r="I94" s="159" t="s">
        <v>298</v>
      </c>
      <c r="J94" s="222"/>
      <c r="K94" s="45">
        <f t="shared" si="25"/>
        <v>24982.35</v>
      </c>
      <c r="L94" s="73">
        <v>1873.68</v>
      </c>
      <c r="M94" s="73">
        <v>1873.67</v>
      </c>
      <c r="N94" s="73"/>
      <c r="O94" s="73"/>
      <c r="P94" s="73">
        <v>21235</v>
      </c>
      <c r="Q94" s="222"/>
      <c r="R94" s="202">
        <v>2020</v>
      </c>
      <c r="S94" s="93"/>
      <c r="T94" s="93"/>
      <c r="U94" s="46"/>
      <c r="V94" s="41"/>
      <c r="W94" s="41"/>
      <c r="X94" s="244" t="s">
        <v>780</v>
      </c>
      <c r="Y94" s="244" t="s">
        <v>781</v>
      </c>
      <c r="Z94" s="275"/>
      <c r="AA94" s="275"/>
      <c r="AB94" s="275"/>
      <c r="AC94" s="275"/>
      <c r="AD94" s="276"/>
      <c r="AE94" s="276"/>
      <c r="AF94" s="244">
        <v>1466</v>
      </c>
      <c r="AG94" s="244" t="s">
        <v>782</v>
      </c>
      <c r="AH94" s="244" t="s">
        <v>783</v>
      </c>
      <c r="AI94" s="275"/>
      <c r="AJ94" s="277"/>
      <c r="AK94" s="277"/>
      <c r="AL94" s="277"/>
      <c r="AM94" s="277"/>
      <c r="AN94" s="241"/>
      <c r="AO94" s="244">
        <v>1</v>
      </c>
      <c r="AP94" s="256"/>
      <c r="AQ94" s="256"/>
      <c r="AR94" s="256"/>
      <c r="AS94" s="256"/>
      <c r="AT94" s="256"/>
      <c r="AU94" s="256"/>
      <c r="AV94" s="256"/>
      <c r="AW94" s="259"/>
      <c r="AX94" s="256"/>
      <c r="AY94" s="257"/>
      <c r="AZ94" s="257"/>
      <c r="BA94" s="257"/>
      <c r="BB94" s="257"/>
      <c r="BC94" s="257"/>
      <c r="BD94" s="257"/>
      <c r="BE94" s="257"/>
      <c r="BF94" s="261"/>
      <c r="BG94" s="257"/>
    </row>
    <row r="95" spans="2:59" ht="24" x14ac:dyDescent="0.25">
      <c r="B95" s="159" t="s">
        <v>757</v>
      </c>
      <c r="C95" s="159"/>
      <c r="D95" s="47" t="s">
        <v>758</v>
      </c>
      <c r="E95" s="53" t="s">
        <v>759</v>
      </c>
      <c r="F95" s="53" t="s">
        <v>491</v>
      </c>
      <c r="G95" s="53" t="s">
        <v>342</v>
      </c>
      <c r="H95" s="159" t="s">
        <v>722</v>
      </c>
      <c r="I95" s="159" t="s">
        <v>298</v>
      </c>
      <c r="J95" s="222"/>
      <c r="K95" s="45">
        <f t="shared" si="25"/>
        <v>17587.04</v>
      </c>
      <c r="L95" s="73">
        <v>1319.02</v>
      </c>
      <c r="M95" s="73">
        <v>1319.02</v>
      </c>
      <c r="N95" s="73"/>
      <c r="O95" s="73"/>
      <c r="P95" s="73">
        <v>14949</v>
      </c>
      <c r="Q95" s="222"/>
      <c r="R95" s="202">
        <v>2019</v>
      </c>
      <c r="S95" s="93"/>
      <c r="T95" s="93"/>
      <c r="U95" s="46"/>
      <c r="V95" s="41"/>
      <c r="W95" s="41"/>
      <c r="X95" s="244" t="s">
        <v>780</v>
      </c>
      <c r="Y95" s="244" t="s">
        <v>781</v>
      </c>
      <c r="Z95" s="275"/>
      <c r="AA95" s="275"/>
      <c r="AB95" s="275"/>
      <c r="AC95" s="275"/>
      <c r="AD95" s="276"/>
      <c r="AE95" s="276"/>
      <c r="AF95" s="244">
        <v>960</v>
      </c>
      <c r="AG95" s="244" t="s">
        <v>782</v>
      </c>
      <c r="AH95" s="244" t="s">
        <v>783</v>
      </c>
      <c r="AI95" s="275"/>
      <c r="AJ95" s="277"/>
      <c r="AK95" s="277"/>
      <c r="AL95" s="277"/>
      <c r="AM95" s="277"/>
      <c r="AN95" s="241"/>
      <c r="AO95" s="244">
        <v>1</v>
      </c>
      <c r="AP95" s="256"/>
      <c r="AQ95" s="256"/>
      <c r="AR95" s="256"/>
      <c r="AS95" s="256"/>
      <c r="AT95" s="256"/>
      <c r="AU95" s="256"/>
      <c r="AV95" s="256"/>
      <c r="AW95" s="259"/>
      <c r="AX95" s="256"/>
      <c r="AY95" s="257"/>
      <c r="AZ95" s="257"/>
      <c r="BA95" s="257"/>
      <c r="BB95" s="257"/>
      <c r="BC95" s="257"/>
      <c r="BD95" s="257"/>
      <c r="BE95" s="257"/>
      <c r="BF95" s="261"/>
      <c r="BG95" s="257"/>
    </row>
    <row r="96" spans="2:59" ht="36" x14ac:dyDescent="0.25">
      <c r="B96" s="159" t="s">
        <v>760</v>
      </c>
      <c r="C96" s="159"/>
      <c r="D96" s="47" t="s">
        <v>761</v>
      </c>
      <c r="E96" s="53" t="s">
        <v>762</v>
      </c>
      <c r="F96" s="53" t="s">
        <v>491</v>
      </c>
      <c r="G96" s="53" t="s">
        <v>763</v>
      </c>
      <c r="H96" s="159" t="s">
        <v>722</v>
      </c>
      <c r="I96" s="159" t="s">
        <v>298</v>
      </c>
      <c r="J96" s="222"/>
      <c r="K96" s="45">
        <f t="shared" si="25"/>
        <v>240523</v>
      </c>
      <c r="L96" s="73">
        <v>18039.23</v>
      </c>
      <c r="M96" s="73">
        <v>18039.22</v>
      </c>
      <c r="N96" s="73"/>
      <c r="O96" s="73"/>
      <c r="P96" s="73">
        <v>204444.55</v>
      </c>
      <c r="Q96" s="222"/>
      <c r="R96" s="202">
        <v>2020</v>
      </c>
      <c r="S96" s="93"/>
      <c r="T96" s="93"/>
      <c r="U96" s="46"/>
      <c r="V96" s="41"/>
      <c r="W96" s="41"/>
      <c r="X96" s="244" t="s">
        <v>780</v>
      </c>
      <c r="Y96" s="244" t="s">
        <v>781</v>
      </c>
      <c r="Z96" s="275"/>
      <c r="AA96" s="275"/>
      <c r="AB96" s="275"/>
      <c r="AC96" s="275"/>
      <c r="AD96" s="276"/>
      <c r="AE96" s="276"/>
      <c r="AF96" s="244">
        <v>12800</v>
      </c>
      <c r="AG96" s="244" t="s">
        <v>782</v>
      </c>
      <c r="AH96" s="244" t="s">
        <v>783</v>
      </c>
      <c r="AI96" s="275"/>
      <c r="AJ96" s="277"/>
      <c r="AK96" s="277"/>
      <c r="AL96" s="277"/>
      <c r="AM96" s="277"/>
      <c r="AN96" s="241"/>
      <c r="AO96" s="244">
        <v>1</v>
      </c>
      <c r="AP96" s="256"/>
      <c r="AQ96" s="256"/>
      <c r="AR96" s="256"/>
      <c r="AS96" s="256"/>
      <c r="AT96" s="256"/>
      <c r="AU96" s="256"/>
      <c r="AV96" s="256"/>
      <c r="AW96" s="259"/>
      <c r="AX96" s="256"/>
      <c r="AY96" s="257"/>
      <c r="AZ96" s="257"/>
      <c r="BA96" s="257"/>
      <c r="BB96" s="257"/>
      <c r="BC96" s="257"/>
      <c r="BD96" s="257"/>
      <c r="BE96" s="257"/>
      <c r="BF96" s="261"/>
      <c r="BG96" s="257"/>
    </row>
    <row r="97" spans="2:59" ht="24" x14ac:dyDescent="0.25">
      <c r="B97" s="159" t="s">
        <v>764</v>
      </c>
      <c r="C97" s="159"/>
      <c r="D97" s="47" t="s">
        <v>765</v>
      </c>
      <c r="E97" s="53" t="s">
        <v>766</v>
      </c>
      <c r="F97" s="53" t="s">
        <v>491</v>
      </c>
      <c r="G97" s="53" t="s">
        <v>763</v>
      </c>
      <c r="H97" s="159" t="s">
        <v>722</v>
      </c>
      <c r="I97" s="159" t="s">
        <v>298</v>
      </c>
      <c r="J97" s="222"/>
      <c r="K97" s="45">
        <f t="shared" si="25"/>
        <v>47242</v>
      </c>
      <c r="L97" s="73"/>
      <c r="M97" s="73">
        <v>3543.15</v>
      </c>
      <c r="N97" s="73">
        <v>3543.15</v>
      </c>
      <c r="O97" s="73"/>
      <c r="P97" s="73">
        <v>40155.699999999997</v>
      </c>
      <c r="Q97" s="222"/>
      <c r="R97" s="202">
        <v>2019</v>
      </c>
      <c r="S97" s="93"/>
      <c r="T97" s="93"/>
      <c r="U97" s="46"/>
      <c r="V97" s="41"/>
      <c r="W97" s="41"/>
      <c r="X97" s="244" t="s">
        <v>780</v>
      </c>
      <c r="Y97" s="244" t="s">
        <v>781</v>
      </c>
      <c r="Z97" s="275"/>
      <c r="AA97" s="275"/>
      <c r="AB97" s="275"/>
      <c r="AC97" s="275"/>
      <c r="AD97" s="276"/>
      <c r="AE97" s="276"/>
      <c r="AF97" s="244">
        <v>1600</v>
      </c>
      <c r="AG97" s="244" t="s">
        <v>782</v>
      </c>
      <c r="AH97" s="244" t="s">
        <v>783</v>
      </c>
      <c r="AI97" s="275"/>
      <c r="AJ97" s="277"/>
      <c r="AK97" s="277"/>
      <c r="AL97" s="277"/>
      <c r="AM97" s="277"/>
      <c r="AN97" s="241"/>
      <c r="AO97" s="244">
        <v>1</v>
      </c>
      <c r="AP97" s="256"/>
      <c r="AQ97" s="256"/>
      <c r="AR97" s="256"/>
      <c r="AS97" s="256"/>
      <c r="AT97" s="256"/>
      <c r="AU97" s="256"/>
      <c r="AV97" s="256"/>
      <c r="AW97" s="259"/>
      <c r="AX97" s="256"/>
      <c r="AY97" s="257"/>
      <c r="AZ97" s="257"/>
      <c r="BA97" s="257"/>
      <c r="BB97" s="257"/>
      <c r="BC97" s="257"/>
      <c r="BD97" s="257"/>
      <c r="BE97" s="257"/>
      <c r="BF97" s="261"/>
      <c r="BG97" s="257"/>
    </row>
    <row r="98" spans="2:59" ht="24" x14ac:dyDescent="0.25">
      <c r="B98" s="159" t="s">
        <v>767</v>
      </c>
      <c r="C98" s="159"/>
      <c r="D98" s="47" t="s">
        <v>768</v>
      </c>
      <c r="E98" s="53" t="s">
        <v>769</v>
      </c>
      <c r="F98" s="53" t="s">
        <v>491</v>
      </c>
      <c r="G98" s="53" t="s">
        <v>763</v>
      </c>
      <c r="H98" s="159" t="s">
        <v>722</v>
      </c>
      <c r="I98" s="159" t="s">
        <v>298</v>
      </c>
      <c r="J98" s="222"/>
      <c r="K98" s="45">
        <f t="shared" si="25"/>
        <v>23724</v>
      </c>
      <c r="L98" s="73"/>
      <c r="M98" s="73">
        <v>1779.3</v>
      </c>
      <c r="N98" s="73">
        <v>1779.3</v>
      </c>
      <c r="O98" s="73"/>
      <c r="P98" s="73">
        <v>20165.400000000001</v>
      </c>
      <c r="Q98" s="222"/>
      <c r="R98" s="202">
        <v>2019</v>
      </c>
      <c r="S98" s="93"/>
      <c r="T98" s="93"/>
      <c r="U98" s="46"/>
      <c r="V98" s="41"/>
      <c r="W98" s="41"/>
      <c r="X98" s="244" t="s">
        <v>780</v>
      </c>
      <c r="Y98" s="244" t="s">
        <v>781</v>
      </c>
      <c r="Z98" s="275"/>
      <c r="AA98" s="275"/>
      <c r="AB98" s="275"/>
      <c r="AC98" s="275"/>
      <c r="AD98" s="276"/>
      <c r="AE98" s="276"/>
      <c r="AF98" s="244">
        <v>1000</v>
      </c>
      <c r="AG98" s="244" t="s">
        <v>782</v>
      </c>
      <c r="AH98" s="244" t="s">
        <v>783</v>
      </c>
      <c r="AI98" s="275"/>
      <c r="AJ98" s="277"/>
      <c r="AK98" s="277"/>
      <c r="AL98" s="277"/>
      <c r="AM98" s="277"/>
      <c r="AN98" s="241"/>
      <c r="AO98" s="244">
        <v>1</v>
      </c>
      <c r="AP98" s="256"/>
      <c r="AQ98" s="256"/>
      <c r="AR98" s="256"/>
      <c r="AS98" s="256"/>
      <c r="AT98" s="256"/>
      <c r="AU98" s="256"/>
      <c r="AV98" s="256"/>
      <c r="AW98" s="259"/>
      <c r="AX98" s="256"/>
      <c r="AY98" s="257"/>
      <c r="AZ98" s="257"/>
      <c r="BA98" s="257"/>
      <c r="BB98" s="257"/>
      <c r="BC98" s="257"/>
      <c r="BD98" s="257"/>
      <c r="BE98" s="257"/>
      <c r="BF98" s="261"/>
      <c r="BG98" s="257"/>
    </row>
    <row r="99" spans="2:59" ht="36" x14ac:dyDescent="0.25">
      <c r="B99" s="159" t="s">
        <v>770</v>
      </c>
      <c r="C99" s="159"/>
      <c r="D99" s="47" t="s">
        <v>771</v>
      </c>
      <c r="E99" s="53" t="s">
        <v>772</v>
      </c>
      <c r="F99" s="53" t="s">
        <v>491</v>
      </c>
      <c r="G99" s="53" t="s">
        <v>763</v>
      </c>
      <c r="H99" s="159" t="s">
        <v>722</v>
      </c>
      <c r="I99" s="159" t="s">
        <v>298</v>
      </c>
      <c r="J99" s="222"/>
      <c r="K99" s="45">
        <f t="shared" si="25"/>
        <v>107171</v>
      </c>
      <c r="L99" s="73"/>
      <c r="M99" s="73">
        <v>8037.82</v>
      </c>
      <c r="N99" s="73">
        <v>8037.83</v>
      </c>
      <c r="O99" s="73"/>
      <c r="P99" s="73">
        <v>91095.35</v>
      </c>
      <c r="Q99" s="222"/>
      <c r="R99" s="202">
        <v>2019</v>
      </c>
      <c r="S99" s="93"/>
      <c r="T99" s="93"/>
      <c r="U99" s="46"/>
      <c r="V99" s="41"/>
      <c r="W99" s="41"/>
      <c r="X99" s="244" t="s">
        <v>780</v>
      </c>
      <c r="Y99" s="244" t="s">
        <v>781</v>
      </c>
      <c r="Z99" s="275"/>
      <c r="AA99" s="275"/>
      <c r="AB99" s="275"/>
      <c r="AC99" s="275"/>
      <c r="AD99" s="276"/>
      <c r="AE99" s="276"/>
      <c r="AF99" s="244">
        <v>5000</v>
      </c>
      <c r="AG99" s="244" t="s">
        <v>782</v>
      </c>
      <c r="AH99" s="244" t="s">
        <v>783</v>
      </c>
      <c r="AI99" s="275"/>
      <c r="AJ99" s="277"/>
      <c r="AK99" s="277"/>
      <c r="AL99" s="277"/>
      <c r="AM99" s="277"/>
      <c r="AN99" s="241"/>
      <c r="AO99" s="244">
        <v>1</v>
      </c>
      <c r="AP99" s="256"/>
      <c r="AQ99" s="256"/>
      <c r="AR99" s="256"/>
      <c r="AS99" s="256"/>
      <c r="AT99" s="256"/>
      <c r="AU99" s="256"/>
      <c r="AV99" s="256"/>
      <c r="AW99" s="259"/>
      <c r="AX99" s="256"/>
      <c r="AY99" s="257"/>
      <c r="AZ99" s="257"/>
      <c r="BA99" s="257"/>
      <c r="BB99" s="257"/>
      <c r="BC99" s="257"/>
      <c r="BD99" s="257"/>
      <c r="BE99" s="257"/>
      <c r="BF99" s="261"/>
      <c r="BG99" s="257"/>
    </row>
    <row r="100" spans="2:59" x14ac:dyDescent="0.25">
      <c r="B100" s="101" t="s">
        <v>668</v>
      </c>
      <c r="C100" s="102"/>
      <c r="D100" s="374" t="s">
        <v>515</v>
      </c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6"/>
      <c r="U100" s="138"/>
      <c r="V100" s="138"/>
      <c r="W100" s="138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5"/>
      <c r="AH100" s="255"/>
      <c r="AI100" s="255"/>
      <c r="AJ100" s="255"/>
      <c r="AK100" s="255"/>
      <c r="AL100" s="255"/>
      <c r="AM100" s="255"/>
      <c r="AN100" s="241"/>
      <c r="AO100" s="255"/>
      <c r="AP100" s="256"/>
      <c r="AQ100" s="256"/>
      <c r="AR100" s="256"/>
      <c r="AS100" s="256"/>
      <c r="AT100" s="256"/>
      <c r="AU100" s="256"/>
      <c r="AV100" s="256"/>
      <c r="AW100" s="259"/>
      <c r="AX100" s="256"/>
      <c r="AY100" s="257"/>
      <c r="AZ100" s="257"/>
      <c r="BA100" s="257"/>
      <c r="BB100" s="257"/>
      <c r="BC100" s="257"/>
      <c r="BD100" s="257"/>
      <c r="BE100" s="257"/>
      <c r="BF100" s="261"/>
      <c r="BG100" s="257"/>
    </row>
    <row r="101" spans="2:59" x14ac:dyDescent="0.25">
      <c r="B101" s="105" t="s">
        <v>516</v>
      </c>
      <c r="C101" s="100"/>
      <c r="D101" s="365" t="s">
        <v>517</v>
      </c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7"/>
      <c r="U101" s="139"/>
      <c r="V101" s="139"/>
      <c r="W101" s="139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5"/>
      <c r="AH101" s="255"/>
      <c r="AI101" s="255"/>
      <c r="AJ101" s="255"/>
      <c r="AK101" s="255"/>
      <c r="AL101" s="255"/>
      <c r="AM101" s="255"/>
      <c r="AN101" s="241"/>
      <c r="AO101" s="255"/>
      <c r="AP101" s="256"/>
      <c r="AQ101" s="256"/>
      <c r="AR101" s="256"/>
      <c r="AS101" s="256"/>
      <c r="AT101" s="256"/>
      <c r="AU101" s="256"/>
      <c r="AV101" s="256"/>
      <c r="AW101" s="259"/>
      <c r="AX101" s="256"/>
      <c r="AY101" s="257"/>
      <c r="AZ101" s="257"/>
      <c r="BA101" s="257"/>
      <c r="BB101" s="257"/>
      <c r="BC101" s="257"/>
      <c r="BD101" s="257"/>
      <c r="BE101" s="257"/>
      <c r="BF101" s="261"/>
      <c r="BG101" s="257"/>
    </row>
    <row r="102" spans="2:59" ht="51" customHeight="1" x14ac:dyDescent="0.25">
      <c r="B102" s="92" t="s">
        <v>518</v>
      </c>
      <c r="C102" s="93"/>
      <c r="D102" s="43" t="s">
        <v>519</v>
      </c>
      <c r="E102" s="54" t="s">
        <v>294</v>
      </c>
      <c r="F102" s="55" t="s">
        <v>520</v>
      </c>
      <c r="G102" s="55" t="s">
        <v>521</v>
      </c>
      <c r="H102" s="55" t="s">
        <v>706</v>
      </c>
      <c r="I102" s="55" t="s">
        <v>298</v>
      </c>
      <c r="J102" s="55"/>
      <c r="K102" s="45">
        <f t="shared" ref="K102:K110" si="29">SUM(L102:Q102)</f>
        <v>169733.46</v>
      </c>
      <c r="L102" s="45">
        <v>25460.02</v>
      </c>
      <c r="M102" s="45"/>
      <c r="N102" s="45"/>
      <c r="O102" s="45"/>
      <c r="P102" s="45">
        <v>144273.44</v>
      </c>
      <c r="Q102" s="99"/>
      <c r="R102" s="55">
        <v>2018</v>
      </c>
      <c r="S102" s="46"/>
      <c r="T102" s="86"/>
      <c r="U102" s="46">
        <v>42887</v>
      </c>
      <c r="V102" s="84"/>
      <c r="W102" s="86"/>
      <c r="X102" s="242" t="s">
        <v>522</v>
      </c>
      <c r="Y102" s="242" t="s">
        <v>523</v>
      </c>
      <c r="Z102" s="242"/>
      <c r="AA102" s="242"/>
      <c r="AB102" s="242"/>
      <c r="AC102" s="242"/>
      <c r="AD102" s="242"/>
      <c r="AE102" s="242">
        <f t="shared" ref="AE102:AE110" si="30">SUM(Z102:AD102)</f>
        <v>0</v>
      </c>
      <c r="AF102" s="242">
        <v>1</v>
      </c>
      <c r="AG102" s="241" t="s">
        <v>524</v>
      </c>
      <c r="AH102" s="241" t="s">
        <v>525</v>
      </c>
      <c r="AI102" s="241"/>
      <c r="AJ102" s="241"/>
      <c r="AK102" s="241"/>
      <c r="AL102" s="241"/>
      <c r="AM102" s="241"/>
      <c r="AN102" s="241">
        <f t="shared" ref="AN102:AN142" si="31">SUM(AI102:AM102)</f>
        <v>0</v>
      </c>
      <c r="AO102" s="241">
        <v>12</v>
      </c>
      <c r="AP102" s="259" t="s">
        <v>526</v>
      </c>
      <c r="AQ102" s="266" t="s">
        <v>527</v>
      </c>
      <c r="AR102" s="259"/>
      <c r="AS102" s="259"/>
      <c r="AT102" s="259"/>
      <c r="AU102" s="259"/>
      <c r="AV102" s="259"/>
      <c r="AW102" s="259">
        <f t="shared" ref="AW102:AW138" si="32">SUM(AR102:AV102)</f>
        <v>0</v>
      </c>
      <c r="AX102" s="259">
        <v>11</v>
      </c>
      <c r="AY102" s="261"/>
      <c r="AZ102" s="261"/>
      <c r="BA102" s="261"/>
      <c r="BB102" s="261"/>
      <c r="BC102" s="261"/>
      <c r="BD102" s="261"/>
      <c r="BE102" s="261"/>
      <c r="BF102" s="261"/>
      <c r="BG102" s="261"/>
    </row>
    <row r="103" spans="2:59" ht="44.25" customHeight="1" x14ac:dyDescent="0.25">
      <c r="B103" s="92" t="s">
        <v>528</v>
      </c>
      <c r="C103" s="93"/>
      <c r="D103" s="43" t="s">
        <v>529</v>
      </c>
      <c r="E103" s="54" t="s">
        <v>308</v>
      </c>
      <c r="F103" s="55" t="s">
        <v>520</v>
      </c>
      <c r="G103" s="55" t="s">
        <v>349</v>
      </c>
      <c r="H103" s="55" t="s">
        <v>706</v>
      </c>
      <c r="I103" s="55" t="s">
        <v>298</v>
      </c>
      <c r="J103" s="55"/>
      <c r="K103" s="45">
        <f t="shared" si="29"/>
        <v>65250</v>
      </c>
      <c r="L103" s="45">
        <v>9788</v>
      </c>
      <c r="M103" s="45"/>
      <c r="N103" s="45"/>
      <c r="O103" s="45"/>
      <c r="P103" s="45">
        <v>55462</v>
      </c>
      <c r="Q103" s="99"/>
      <c r="R103" s="46">
        <v>43281</v>
      </c>
      <c r="S103" s="46">
        <v>43276</v>
      </c>
      <c r="T103" s="86" t="str">
        <f t="shared" ref="T103" si="33">IF(R103-S103&lt;0,(R103-S103)/30.41667,"–")</f>
        <v>–</v>
      </c>
      <c r="U103" s="46">
        <v>42786</v>
      </c>
      <c r="V103" s="84"/>
      <c r="W103" s="86"/>
      <c r="X103" s="242" t="s">
        <v>522</v>
      </c>
      <c r="Y103" s="242" t="s">
        <v>523</v>
      </c>
      <c r="Z103" s="242"/>
      <c r="AA103" s="301">
        <v>1</v>
      </c>
      <c r="AB103" s="242"/>
      <c r="AC103" s="242"/>
      <c r="AD103" s="242"/>
      <c r="AE103" s="242">
        <f t="shared" si="30"/>
        <v>1</v>
      </c>
      <c r="AF103" s="242">
        <v>1</v>
      </c>
      <c r="AG103" s="241" t="s">
        <v>524</v>
      </c>
      <c r="AH103" s="241" t="s">
        <v>525</v>
      </c>
      <c r="AI103" s="241"/>
      <c r="AJ103" s="241"/>
      <c r="AK103" s="241"/>
      <c r="AL103" s="241"/>
      <c r="AM103" s="241"/>
      <c r="AN103" s="241">
        <f t="shared" si="31"/>
        <v>0</v>
      </c>
      <c r="AO103" s="241">
        <v>62</v>
      </c>
      <c r="AP103" s="259" t="s">
        <v>526</v>
      </c>
      <c r="AQ103" s="266" t="s">
        <v>527</v>
      </c>
      <c r="AR103" s="259"/>
      <c r="AS103" s="301">
        <v>38</v>
      </c>
      <c r="AT103" s="259"/>
      <c r="AU103" s="259"/>
      <c r="AV103" s="259"/>
      <c r="AW103" s="259">
        <f t="shared" si="32"/>
        <v>38</v>
      </c>
      <c r="AX103" s="259">
        <v>20</v>
      </c>
      <c r="AY103" s="261"/>
      <c r="AZ103" s="261"/>
      <c r="BA103" s="261"/>
      <c r="BB103" s="261"/>
      <c r="BC103" s="261"/>
      <c r="BD103" s="261"/>
      <c r="BE103" s="261"/>
      <c r="BF103" s="261"/>
      <c r="BG103" s="261"/>
    </row>
    <row r="104" spans="2:59" ht="40.5" customHeight="1" x14ac:dyDescent="0.25">
      <c r="B104" s="92" t="s">
        <v>530</v>
      </c>
      <c r="C104" s="93"/>
      <c r="D104" s="43" t="s">
        <v>531</v>
      </c>
      <c r="E104" s="54" t="s">
        <v>328</v>
      </c>
      <c r="F104" s="55" t="s">
        <v>520</v>
      </c>
      <c r="G104" s="55" t="s">
        <v>426</v>
      </c>
      <c r="H104" s="55" t="s">
        <v>706</v>
      </c>
      <c r="I104" s="55" t="s">
        <v>298</v>
      </c>
      <c r="J104" s="55"/>
      <c r="K104" s="45">
        <f t="shared" si="29"/>
        <v>191806.42</v>
      </c>
      <c r="L104" s="45">
        <v>28770.97</v>
      </c>
      <c r="M104" s="45"/>
      <c r="N104" s="45"/>
      <c r="O104" s="45"/>
      <c r="P104" s="45">
        <v>163035.45000000001</v>
      </c>
      <c r="Q104" s="99"/>
      <c r="R104" s="55">
        <v>2019</v>
      </c>
      <c r="S104" s="46"/>
      <c r="T104" s="86"/>
      <c r="U104" s="46">
        <v>42795</v>
      </c>
      <c r="V104" s="84"/>
      <c r="W104" s="86"/>
      <c r="X104" s="242" t="s">
        <v>522</v>
      </c>
      <c r="Y104" s="242" t="s">
        <v>523</v>
      </c>
      <c r="Z104" s="242"/>
      <c r="AA104" s="242"/>
      <c r="AB104" s="242"/>
      <c r="AC104" s="242"/>
      <c r="AD104" s="242"/>
      <c r="AE104" s="242">
        <f t="shared" si="30"/>
        <v>0</v>
      </c>
      <c r="AF104" s="242">
        <v>1</v>
      </c>
      <c r="AG104" s="241" t="s">
        <v>524</v>
      </c>
      <c r="AH104" s="241" t="s">
        <v>525</v>
      </c>
      <c r="AI104" s="241"/>
      <c r="AJ104" s="241"/>
      <c r="AK104" s="241"/>
      <c r="AL104" s="241"/>
      <c r="AM104" s="241"/>
      <c r="AN104" s="241">
        <f t="shared" si="31"/>
        <v>0</v>
      </c>
      <c r="AO104" s="241">
        <v>35</v>
      </c>
      <c r="AP104" s="259" t="s">
        <v>526</v>
      </c>
      <c r="AQ104" s="266" t="s">
        <v>527</v>
      </c>
      <c r="AR104" s="259"/>
      <c r="AS104" s="259"/>
      <c r="AT104" s="259"/>
      <c r="AU104" s="259"/>
      <c r="AV104" s="259"/>
      <c r="AW104" s="259">
        <f t="shared" si="32"/>
        <v>0</v>
      </c>
      <c r="AX104" s="259">
        <v>23</v>
      </c>
      <c r="AY104" s="261"/>
      <c r="AZ104" s="261"/>
      <c r="BA104" s="261"/>
      <c r="BB104" s="261"/>
      <c r="BC104" s="261"/>
      <c r="BD104" s="261"/>
      <c r="BE104" s="261"/>
      <c r="BF104" s="261"/>
      <c r="BG104" s="261"/>
    </row>
    <row r="105" spans="2:59" ht="40.5" customHeight="1" x14ac:dyDescent="0.25">
      <c r="B105" s="92" t="s">
        <v>532</v>
      </c>
      <c r="C105" s="93"/>
      <c r="D105" s="43" t="s">
        <v>533</v>
      </c>
      <c r="E105" s="54" t="s">
        <v>534</v>
      </c>
      <c r="F105" s="55" t="s">
        <v>520</v>
      </c>
      <c r="G105" s="55" t="s">
        <v>390</v>
      </c>
      <c r="H105" s="55" t="s">
        <v>706</v>
      </c>
      <c r="I105" s="55" t="s">
        <v>298</v>
      </c>
      <c r="J105" s="55"/>
      <c r="K105" s="45">
        <f t="shared" si="29"/>
        <v>905836.09</v>
      </c>
      <c r="L105" s="45">
        <v>680455.98</v>
      </c>
      <c r="M105" s="45"/>
      <c r="N105" s="45"/>
      <c r="O105" s="45"/>
      <c r="P105" s="45">
        <v>225380.11</v>
      </c>
      <c r="Q105" s="99"/>
      <c r="R105" s="55">
        <v>2019</v>
      </c>
      <c r="S105" s="46"/>
      <c r="T105" s="86"/>
      <c r="U105" s="46">
        <v>42887</v>
      </c>
      <c r="V105" s="84"/>
      <c r="W105" s="86"/>
      <c r="X105" s="242" t="s">
        <v>522</v>
      </c>
      <c r="Y105" s="242" t="s">
        <v>523</v>
      </c>
      <c r="Z105" s="242"/>
      <c r="AA105" s="242"/>
      <c r="AB105" s="242"/>
      <c r="AC105" s="242"/>
      <c r="AD105" s="242"/>
      <c r="AE105" s="242">
        <f t="shared" si="30"/>
        <v>0</v>
      </c>
      <c r="AF105" s="242">
        <v>1</v>
      </c>
      <c r="AG105" s="241" t="s">
        <v>524</v>
      </c>
      <c r="AH105" s="241" t="s">
        <v>525</v>
      </c>
      <c r="AI105" s="241"/>
      <c r="AJ105" s="241"/>
      <c r="AK105" s="241"/>
      <c r="AL105" s="241"/>
      <c r="AM105" s="241"/>
      <c r="AN105" s="241">
        <f t="shared" si="31"/>
        <v>0</v>
      </c>
      <c r="AO105" s="241">
        <v>40</v>
      </c>
      <c r="AP105" s="259" t="s">
        <v>526</v>
      </c>
      <c r="AQ105" s="266" t="s">
        <v>527</v>
      </c>
      <c r="AR105" s="259"/>
      <c r="AS105" s="259"/>
      <c r="AT105" s="259"/>
      <c r="AU105" s="259"/>
      <c r="AV105" s="259"/>
      <c r="AW105" s="259">
        <f t="shared" si="32"/>
        <v>0</v>
      </c>
      <c r="AX105" s="259">
        <v>20</v>
      </c>
      <c r="AY105" s="261"/>
      <c r="AZ105" s="261"/>
      <c r="BA105" s="261"/>
      <c r="BB105" s="261"/>
      <c r="BC105" s="261"/>
      <c r="BD105" s="261"/>
      <c r="BE105" s="261"/>
      <c r="BF105" s="261"/>
      <c r="BG105" s="261"/>
    </row>
    <row r="106" spans="2:59" x14ac:dyDescent="0.25">
      <c r="B106" s="105" t="s">
        <v>535</v>
      </c>
      <c r="C106" s="100"/>
      <c r="D106" s="365" t="s">
        <v>536</v>
      </c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7"/>
      <c r="U106" s="139"/>
      <c r="V106" s="139"/>
      <c r="W106" s="139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5"/>
      <c r="AH106" s="255"/>
      <c r="AI106" s="255"/>
      <c r="AJ106" s="255"/>
      <c r="AK106" s="255"/>
      <c r="AL106" s="255"/>
      <c r="AM106" s="255"/>
      <c r="AN106" s="241"/>
      <c r="AO106" s="255"/>
      <c r="AP106" s="256"/>
      <c r="AQ106" s="256"/>
      <c r="AR106" s="256"/>
      <c r="AS106" s="256"/>
      <c r="AT106" s="256"/>
      <c r="AU106" s="256"/>
      <c r="AV106" s="256"/>
      <c r="AW106" s="259"/>
      <c r="AX106" s="256"/>
      <c r="AY106" s="257"/>
      <c r="AZ106" s="257"/>
      <c r="BA106" s="257"/>
      <c r="BB106" s="257"/>
      <c r="BC106" s="257"/>
      <c r="BD106" s="257"/>
      <c r="BE106" s="257"/>
      <c r="BF106" s="261"/>
      <c r="BG106" s="257"/>
    </row>
    <row r="107" spans="2:59" ht="24" x14ac:dyDescent="0.25">
      <c r="B107" s="92" t="s">
        <v>537</v>
      </c>
      <c r="C107" s="93"/>
      <c r="D107" s="43" t="s">
        <v>773</v>
      </c>
      <c r="E107" s="54" t="s">
        <v>294</v>
      </c>
      <c r="F107" s="55" t="s">
        <v>520</v>
      </c>
      <c r="G107" s="55" t="s">
        <v>539</v>
      </c>
      <c r="H107" s="55" t="s">
        <v>540</v>
      </c>
      <c r="I107" s="55" t="s">
        <v>298</v>
      </c>
      <c r="J107" s="55"/>
      <c r="K107" s="45">
        <f t="shared" si="29"/>
        <v>557789.41</v>
      </c>
      <c r="L107" s="45">
        <v>83668.41</v>
      </c>
      <c r="M107" s="64"/>
      <c r="N107" s="45"/>
      <c r="O107" s="45"/>
      <c r="P107" s="45">
        <v>474121</v>
      </c>
      <c r="Q107" s="99"/>
      <c r="R107" s="55">
        <v>2020</v>
      </c>
      <c r="S107" s="46"/>
      <c r="T107" s="86"/>
      <c r="U107" s="46">
        <v>42705</v>
      </c>
      <c r="V107" s="46">
        <v>42614</v>
      </c>
      <c r="W107" s="86" t="str">
        <f t="shared" ref="W107:W110" si="34">IF(U107-V107&lt;0,(U107-V107)/30.41667,"–")</f>
        <v>–</v>
      </c>
      <c r="X107" s="242" t="s">
        <v>541</v>
      </c>
      <c r="Y107" s="242" t="s">
        <v>542</v>
      </c>
      <c r="Z107" s="242"/>
      <c r="AA107" s="242"/>
      <c r="AB107" s="242"/>
      <c r="AC107" s="242"/>
      <c r="AD107" s="242"/>
      <c r="AE107" s="242">
        <f t="shared" si="30"/>
        <v>0</v>
      </c>
      <c r="AF107" s="242">
        <v>25</v>
      </c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61"/>
      <c r="AZ107" s="261"/>
      <c r="BA107" s="261"/>
      <c r="BB107" s="261"/>
      <c r="BC107" s="261"/>
      <c r="BD107" s="261"/>
      <c r="BE107" s="261"/>
      <c r="BF107" s="261"/>
      <c r="BG107" s="261"/>
    </row>
    <row r="108" spans="2:59" ht="24" x14ac:dyDescent="0.25">
      <c r="B108" s="92" t="s">
        <v>543</v>
      </c>
      <c r="C108" s="93"/>
      <c r="D108" s="43" t="s">
        <v>544</v>
      </c>
      <c r="E108" s="54" t="s">
        <v>308</v>
      </c>
      <c r="F108" s="55" t="s">
        <v>520</v>
      </c>
      <c r="G108" s="55" t="s">
        <v>545</v>
      </c>
      <c r="H108" s="55" t="s">
        <v>540</v>
      </c>
      <c r="I108" s="55" t="s">
        <v>298</v>
      </c>
      <c r="J108" s="55"/>
      <c r="K108" s="45">
        <f t="shared" si="29"/>
        <v>203981.18</v>
      </c>
      <c r="L108" s="45">
        <v>30597.18</v>
      </c>
      <c r="M108" s="64"/>
      <c r="N108" s="45"/>
      <c r="O108" s="45"/>
      <c r="P108" s="45">
        <v>173384</v>
      </c>
      <c r="Q108" s="99"/>
      <c r="R108" s="55">
        <v>2018</v>
      </c>
      <c r="S108" s="46"/>
      <c r="T108" s="86"/>
      <c r="U108" s="46">
        <v>42705</v>
      </c>
      <c r="V108" s="46">
        <v>42615</v>
      </c>
      <c r="W108" s="86" t="str">
        <f t="shared" si="34"/>
        <v>–</v>
      </c>
      <c r="X108" s="242" t="s">
        <v>541</v>
      </c>
      <c r="Y108" s="242" t="s">
        <v>542</v>
      </c>
      <c r="Z108" s="242"/>
      <c r="AA108" s="242"/>
      <c r="AB108" s="242"/>
      <c r="AC108" s="242"/>
      <c r="AD108" s="242"/>
      <c r="AE108" s="242">
        <f t="shared" si="30"/>
        <v>0</v>
      </c>
      <c r="AF108" s="242">
        <v>6</v>
      </c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61"/>
      <c r="AZ108" s="261"/>
      <c r="BA108" s="261"/>
      <c r="BB108" s="261"/>
      <c r="BC108" s="261"/>
      <c r="BD108" s="261"/>
      <c r="BE108" s="261"/>
      <c r="BF108" s="261"/>
      <c r="BG108" s="261"/>
    </row>
    <row r="109" spans="2:59" ht="24" x14ac:dyDescent="0.25">
      <c r="B109" s="92" t="s">
        <v>546</v>
      </c>
      <c r="C109" s="93"/>
      <c r="D109" s="43" t="s">
        <v>547</v>
      </c>
      <c r="E109" s="54" t="s">
        <v>328</v>
      </c>
      <c r="F109" s="55" t="s">
        <v>520</v>
      </c>
      <c r="G109" s="55" t="s">
        <v>356</v>
      </c>
      <c r="H109" s="55" t="s">
        <v>540</v>
      </c>
      <c r="I109" s="55" t="s">
        <v>298</v>
      </c>
      <c r="J109" s="55"/>
      <c r="K109" s="45">
        <f t="shared" si="29"/>
        <v>297848.24</v>
      </c>
      <c r="L109" s="45">
        <v>44677.24</v>
      </c>
      <c r="M109" s="64"/>
      <c r="N109" s="45"/>
      <c r="O109" s="45"/>
      <c r="P109" s="45">
        <v>253171</v>
      </c>
      <c r="Q109" s="99"/>
      <c r="R109" s="55">
        <v>2018</v>
      </c>
      <c r="S109" s="46"/>
      <c r="T109" s="86"/>
      <c r="U109" s="46">
        <v>42583</v>
      </c>
      <c r="V109" s="46">
        <v>42607</v>
      </c>
      <c r="W109" s="86">
        <f t="shared" si="34"/>
        <v>-0.78904100942016331</v>
      </c>
      <c r="X109" s="242" t="s">
        <v>541</v>
      </c>
      <c r="Y109" s="242" t="s">
        <v>548</v>
      </c>
      <c r="Z109" s="300">
        <v>3</v>
      </c>
      <c r="AA109" s="299">
        <v>6</v>
      </c>
      <c r="AB109" s="242"/>
      <c r="AC109" s="242"/>
      <c r="AD109" s="242"/>
      <c r="AE109" s="242">
        <f t="shared" si="30"/>
        <v>9</v>
      </c>
      <c r="AF109" s="242">
        <v>16</v>
      </c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61"/>
      <c r="AZ109" s="261"/>
      <c r="BA109" s="261"/>
      <c r="BB109" s="261"/>
      <c r="BC109" s="261"/>
      <c r="BD109" s="261"/>
      <c r="BE109" s="261"/>
      <c r="BF109" s="261"/>
      <c r="BG109" s="261"/>
    </row>
    <row r="110" spans="2:59" ht="24" x14ac:dyDescent="0.25">
      <c r="B110" s="92" t="s">
        <v>549</v>
      </c>
      <c r="C110" s="93"/>
      <c r="D110" s="43" t="s">
        <v>550</v>
      </c>
      <c r="E110" s="54" t="s">
        <v>304</v>
      </c>
      <c r="F110" s="55" t="s">
        <v>520</v>
      </c>
      <c r="G110" s="55" t="s">
        <v>390</v>
      </c>
      <c r="H110" s="55" t="s">
        <v>540</v>
      </c>
      <c r="I110" s="55" t="s">
        <v>298</v>
      </c>
      <c r="J110" s="55"/>
      <c r="K110" s="45">
        <f t="shared" si="29"/>
        <v>1467581.1764705882</v>
      </c>
      <c r="L110" s="45">
        <v>220137.17647058822</v>
      </c>
      <c r="M110" s="64"/>
      <c r="N110" s="45"/>
      <c r="O110" s="45"/>
      <c r="P110" s="45">
        <v>1247444</v>
      </c>
      <c r="Q110" s="99"/>
      <c r="R110" s="55">
        <v>2019</v>
      </c>
      <c r="S110" s="46"/>
      <c r="T110" s="86"/>
      <c r="U110" s="46">
        <v>42705</v>
      </c>
      <c r="V110" s="46">
        <v>42643</v>
      </c>
      <c r="W110" s="86" t="str">
        <f t="shared" si="34"/>
        <v>–</v>
      </c>
      <c r="X110" s="242" t="s">
        <v>541</v>
      </c>
      <c r="Y110" s="242" t="s">
        <v>551</v>
      </c>
      <c r="Z110" s="300">
        <v>12</v>
      </c>
      <c r="AA110" s="299">
        <v>18</v>
      </c>
      <c r="AB110" s="301">
        <v>19</v>
      </c>
      <c r="AC110" s="242"/>
      <c r="AD110" s="242"/>
      <c r="AE110" s="242">
        <f t="shared" si="30"/>
        <v>49</v>
      </c>
      <c r="AF110" s="242">
        <v>42</v>
      </c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61"/>
      <c r="AZ110" s="261"/>
      <c r="BA110" s="261"/>
      <c r="BB110" s="261"/>
      <c r="BC110" s="261"/>
      <c r="BD110" s="261"/>
      <c r="BE110" s="261"/>
      <c r="BF110" s="261"/>
      <c r="BG110" s="261"/>
    </row>
    <row r="111" spans="2:59" ht="15" customHeight="1" x14ac:dyDescent="0.25">
      <c r="B111" s="101" t="s">
        <v>669</v>
      </c>
      <c r="C111" s="102"/>
      <c r="D111" s="359" t="s">
        <v>552</v>
      </c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1"/>
      <c r="U111" s="141"/>
      <c r="V111" s="141"/>
      <c r="W111" s="141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5"/>
      <c r="AH111" s="255"/>
      <c r="AI111" s="255"/>
      <c r="AJ111" s="255"/>
      <c r="AK111" s="255"/>
      <c r="AL111" s="255"/>
      <c r="AM111" s="255"/>
      <c r="AN111" s="241"/>
      <c r="AO111" s="255"/>
      <c r="AP111" s="256"/>
      <c r="AQ111" s="256"/>
      <c r="AR111" s="256"/>
      <c r="AS111" s="256"/>
      <c r="AT111" s="256"/>
      <c r="AU111" s="256"/>
      <c r="AV111" s="256"/>
      <c r="AW111" s="259"/>
      <c r="AX111" s="256"/>
      <c r="AY111" s="257"/>
      <c r="AZ111" s="257"/>
      <c r="BA111" s="257"/>
      <c r="BB111" s="257"/>
      <c r="BC111" s="257"/>
      <c r="BD111" s="257"/>
      <c r="BE111" s="257"/>
      <c r="BF111" s="261"/>
      <c r="BG111" s="257"/>
    </row>
    <row r="112" spans="2:59" ht="15" customHeight="1" x14ac:dyDescent="0.25">
      <c r="B112" s="101" t="s">
        <v>670</v>
      </c>
      <c r="C112" s="102"/>
      <c r="D112" s="359" t="s">
        <v>553</v>
      </c>
      <c r="E112" s="360"/>
      <c r="F112" s="360"/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  <c r="Q112" s="360"/>
      <c r="R112" s="360"/>
      <c r="S112" s="360"/>
      <c r="T112" s="361"/>
      <c r="U112" s="141"/>
      <c r="V112" s="141"/>
      <c r="W112" s="141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5"/>
      <c r="AH112" s="255"/>
      <c r="AI112" s="255"/>
      <c r="AJ112" s="255"/>
      <c r="AK112" s="255"/>
      <c r="AL112" s="255"/>
      <c r="AM112" s="255"/>
      <c r="AN112" s="241"/>
      <c r="AO112" s="255"/>
      <c r="AP112" s="256"/>
      <c r="AQ112" s="256"/>
      <c r="AR112" s="256"/>
      <c r="AS112" s="256"/>
      <c r="AT112" s="256"/>
      <c r="AU112" s="256"/>
      <c r="AV112" s="256"/>
      <c r="AW112" s="259"/>
      <c r="AX112" s="256"/>
      <c r="AY112" s="257"/>
      <c r="AZ112" s="257"/>
      <c r="BA112" s="257"/>
      <c r="BB112" s="257"/>
      <c r="BC112" s="257"/>
      <c r="BD112" s="257"/>
      <c r="BE112" s="257"/>
      <c r="BF112" s="261"/>
      <c r="BG112" s="257"/>
    </row>
    <row r="113" spans="2:59" ht="15" customHeight="1" x14ac:dyDescent="0.25">
      <c r="B113" s="105" t="s">
        <v>554</v>
      </c>
      <c r="C113" s="100"/>
      <c r="D113" s="362" t="s">
        <v>555</v>
      </c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4"/>
      <c r="U113" s="142"/>
      <c r="V113" s="142"/>
      <c r="W113" s="142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5"/>
      <c r="AH113" s="255"/>
      <c r="AI113" s="255"/>
      <c r="AJ113" s="255"/>
      <c r="AK113" s="255"/>
      <c r="AL113" s="255"/>
      <c r="AM113" s="255"/>
      <c r="AN113" s="241"/>
      <c r="AO113" s="255"/>
      <c r="AP113" s="256"/>
      <c r="AQ113" s="256"/>
      <c r="AR113" s="256"/>
      <c r="AS113" s="256"/>
      <c r="AT113" s="256"/>
      <c r="AU113" s="256"/>
      <c r="AV113" s="256"/>
      <c r="AW113" s="259"/>
      <c r="AX113" s="256"/>
      <c r="AY113" s="257"/>
      <c r="AZ113" s="257"/>
      <c r="BA113" s="257"/>
      <c r="BB113" s="257"/>
      <c r="BC113" s="257"/>
      <c r="BD113" s="257"/>
      <c r="BE113" s="257"/>
      <c r="BF113" s="261"/>
      <c r="BG113" s="257"/>
    </row>
    <row r="114" spans="2:59" ht="42.75" customHeight="1" x14ac:dyDescent="0.25">
      <c r="B114" s="92" t="s">
        <v>556</v>
      </c>
      <c r="C114" s="93"/>
      <c r="D114" s="43" t="s">
        <v>557</v>
      </c>
      <c r="E114" s="54" t="s">
        <v>308</v>
      </c>
      <c r="F114" s="55" t="s">
        <v>295</v>
      </c>
      <c r="G114" s="55" t="s">
        <v>433</v>
      </c>
      <c r="H114" s="55" t="s">
        <v>558</v>
      </c>
      <c r="I114" s="55" t="s">
        <v>298</v>
      </c>
      <c r="J114" s="55"/>
      <c r="K114" s="45">
        <f t="shared" ref="K114:K115" si="35">SUM(L114:Q114)</f>
        <v>510000</v>
      </c>
      <c r="L114" s="73">
        <v>76500</v>
      </c>
      <c r="M114" s="99"/>
      <c r="N114" s="49"/>
      <c r="O114" s="49"/>
      <c r="P114" s="49">
        <v>433500</v>
      </c>
      <c r="Q114" s="73"/>
      <c r="R114" s="159">
        <v>2019</v>
      </c>
      <c r="S114" s="93"/>
      <c r="T114" s="93"/>
      <c r="U114" s="46">
        <v>43191</v>
      </c>
      <c r="V114" s="41"/>
      <c r="W114" s="41"/>
      <c r="X114" s="242" t="s">
        <v>559</v>
      </c>
      <c r="Y114" s="242" t="s">
        <v>560</v>
      </c>
      <c r="Z114" s="242"/>
      <c r="AA114" s="242"/>
      <c r="AB114" s="242"/>
      <c r="AC114" s="242"/>
      <c r="AD114" s="242"/>
      <c r="AE114" s="242">
        <f t="shared" ref="AE114:AE142" si="36">SUM(Z114:AD114)</f>
        <v>0</v>
      </c>
      <c r="AF114" s="242">
        <v>21</v>
      </c>
      <c r="AG114" s="241" t="s">
        <v>561</v>
      </c>
      <c r="AH114" s="241" t="s">
        <v>562</v>
      </c>
      <c r="AI114" s="241"/>
      <c r="AJ114" s="241"/>
      <c r="AK114" s="241"/>
      <c r="AL114" s="241"/>
      <c r="AM114" s="241"/>
      <c r="AN114" s="241">
        <f t="shared" si="31"/>
        <v>0</v>
      </c>
      <c r="AO114" s="241">
        <v>4</v>
      </c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61"/>
      <c r="AZ114" s="261"/>
      <c r="BA114" s="261"/>
      <c r="BB114" s="261"/>
      <c r="BC114" s="261"/>
      <c r="BD114" s="261"/>
      <c r="BE114" s="261"/>
      <c r="BF114" s="261"/>
      <c r="BG114" s="261"/>
    </row>
    <row r="115" spans="2:59" ht="39.75" customHeight="1" x14ac:dyDescent="0.25">
      <c r="B115" s="92" t="s">
        <v>563</v>
      </c>
      <c r="C115" s="93"/>
      <c r="D115" s="43" t="s">
        <v>564</v>
      </c>
      <c r="E115" s="54" t="s">
        <v>308</v>
      </c>
      <c r="F115" s="55" t="s">
        <v>295</v>
      </c>
      <c r="G115" s="55" t="s">
        <v>433</v>
      </c>
      <c r="H115" s="55" t="s">
        <v>558</v>
      </c>
      <c r="I115" s="55" t="s">
        <v>298</v>
      </c>
      <c r="J115" s="55"/>
      <c r="K115" s="45">
        <f t="shared" si="35"/>
        <v>421508</v>
      </c>
      <c r="L115" s="91">
        <v>63227</v>
      </c>
      <c r="M115" s="91"/>
      <c r="N115" s="49"/>
      <c r="O115" s="49"/>
      <c r="P115" s="49">
        <v>358281</v>
      </c>
      <c r="Q115" s="91"/>
      <c r="R115" s="159">
        <v>2021</v>
      </c>
      <c r="S115" s="93"/>
      <c r="T115" s="93"/>
      <c r="U115" s="46">
        <v>43617</v>
      </c>
      <c r="V115" s="41"/>
      <c r="W115" s="41"/>
      <c r="X115" s="242" t="s">
        <v>559</v>
      </c>
      <c r="Y115" s="242" t="s">
        <v>560</v>
      </c>
      <c r="Z115" s="242"/>
      <c r="AA115" s="242"/>
      <c r="AB115" s="242"/>
      <c r="AC115" s="242"/>
      <c r="AD115" s="242"/>
      <c r="AE115" s="242">
        <f t="shared" si="36"/>
        <v>0</v>
      </c>
      <c r="AF115" s="242">
        <v>48</v>
      </c>
      <c r="AG115" s="241" t="s">
        <v>561</v>
      </c>
      <c r="AH115" s="241" t="s">
        <v>562</v>
      </c>
      <c r="AI115" s="241"/>
      <c r="AJ115" s="241"/>
      <c r="AK115" s="241"/>
      <c r="AL115" s="241"/>
      <c r="AM115" s="241"/>
      <c r="AN115" s="241">
        <f t="shared" si="31"/>
        <v>0</v>
      </c>
      <c r="AO115" s="241">
        <v>4</v>
      </c>
      <c r="AP115" s="259" t="s">
        <v>565</v>
      </c>
      <c r="AQ115" s="259" t="s">
        <v>566</v>
      </c>
      <c r="AR115" s="259"/>
      <c r="AS115" s="259"/>
      <c r="AT115" s="259"/>
      <c r="AU115" s="259"/>
      <c r="AV115" s="259"/>
      <c r="AW115" s="259">
        <f t="shared" si="32"/>
        <v>0</v>
      </c>
      <c r="AX115" s="259">
        <v>2</v>
      </c>
      <c r="AY115" s="261"/>
      <c r="AZ115" s="261"/>
      <c r="BA115" s="261"/>
      <c r="BB115" s="261"/>
      <c r="BC115" s="261"/>
      <c r="BD115" s="261"/>
      <c r="BE115" s="261"/>
      <c r="BF115" s="261"/>
      <c r="BG115" s="261"/>
    </row>
    <row r="116" spans="2:59" ht="15" customHeight="1" x14ac:dyDescent="0.25">
      <c r="B116" s="101" t="s">
        <v>671</v>
      </c>
      <c r="C116" s="102"/>
      <c r="D116" s="359" t="s">
        <v>661</v>
      </c>
      <c r="E116" s="360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0"/>
      <c r="S116" s="360"/>
      <c r="T116" s="361"/>
      <c r="U116" s="141"/>
      <c r="V116" s="141"/>
      <c r="W116" s="141"/>
      <c r="X116" s="254"/>
      <c r="Y116" s="254"/>
      <c r="Z116" s="254"/>
      <c r="AA116" s="254"/>
      <c r="AB116" s="254"/>
      <c r="AC116" s="254"/>
      <c r="AD116" s="254"/>
      <c r="AE116" s="242">
        <f t="shared" si="36"/>
        <v>0</v>
      </c>
      <c r="AF116" s="254"/>
      <c r="AG116" s="255"/>
      <c r="AH116" s="255"/>
      <c r="AI116" s="255"/>
      <c r="AJ116" s="255"/>
      <c r="AK116" s="255"/>
      <c r="AL116" s="255"/>
      <c r="AM116" s="255"/>
      <c r="AN116" s="241"/>
      <c r="AO116" s="255"/>
      <c r="AP116" s="256"/>
      <c r="AQ116" s="256"/>
      <c r="AR116" s="256"/>
      <c r="AS116" s="256"/>
      <c r="AT116" s="256"/>
      <c r="AU116" s="256"/>
      <c r="AV116" s="256"/>
      <c r="AW116" s="259"/>
      <c r="AX116" s="256"/>
      <c r="AY116" s="257"/>
      <c r="AZ116" s="257"/>
      <c r="BA116" s="257"/>
      <c r="BB116" s="257"/>
      <c r="BC116" s="257"/>
      <c r="BD116" s="257"/>
      <c r="BE116" s="257"/>
      <c r="BF116" s="261"/>
      <c r="BG116" s="257"/>
    </row>
    <row r="117" spans="2:59" ht="15" customHeight="1" x14ac:dyDescent="0.25">
      <c r="B117" s="101" t="s">
        <v>672</v>
      </c>
      <c r="C117" s="102"/>
      <c r="D117" s="359" t="s">
        <v>567</v>
      </c>
      <c r="E117" s="360"/>
      <c r="F117" s="360"/>
      <c r="G117" s="360"/>
      <c r="H117" s="360"/>
      <c r="I117" s="360"/>
      <c r="J117" s="360"/>
      <c r="K117" s="360"/>
      <c r="L117" s="360"/>
      <c r="M117" s="360"/>
      <c r="N117" s="360"/>
      <c r="O117" s="360"/>
      <c r="P117" s="360"/>
      <c r="Q117" s="360"/>
      <c r="R117" s="360"/>
      <c r="S117" s="360"/>
      <c r="T117" s="361"/>
      <c r="U117" s="141"/>
      <c r="V117" s="141"/>
      <c r="W117" s="141"/>
      <c r="X117" s="254"/>
      <c r="Y117" s="254"/>
      <c r="Z117" s="254"/>
      <c r="AA117" s="254"/>
      <c r="AB117" s="254"/>
      <c r="AC117" s="254"/>
      <c r="AD117" s="254"/>
      <c r="AE117" s="242">
        <f t="shared" si="36"/>
        <v>0</v>
      </c>
      <c r="AF117" s="254"/>
      <c r="AG117" s="255"/>
      <c r="AH117" s="255"/>
      <c r="AI117" s="255"/>
      <c r="AJ117" s="255"/>
      <c r="AK117" s="255"/>
      <c r="AL117" s="255"/>
      <c r="AM117" s="255"/>
      <c r="AN117" s="241"/>
      <c r="AO117" s="255"/>
      <c r="AP117" s="256"/>
      <c r="AQ117" s="256"/>
      <c r="AR117" s="256"/>
      <c r="AS117" s="256"/>
      <c r="AT117" s="256"/>
      <c r="AU117" s="256"/>
      <c r="AV117" s="256"/>
      <c r="AW117" s="259"/>
      <c r="AX117" s="256"/>
      <c r="AY117" s="257"/>
      <c r="AZ117" s="257"/>
      <c r="BA117" s="257"/>
      <c r="BB117" s="257"/>
      <c r="BC117" s="257"/>
      <c r="BD117" s="257"/>
      <c r="BE117" s="257"/>
      <c r="BF117" s="261"/>
      <c r="BG117" s="257"/>
    </row>
    <row r="118" spans="2:59" ht="15" customHeight="1" x14ac:dyDescent="0.25">
      <c r="B118" s="101" t="s">
        <v>673</v>
      </c>
      <c r="C118" s="102"/>
      <c r="D118" s="359" t="s">
        <v>568</v>
      </c>
      <c r="E118" s="360"/>
      <c r="F118" s="360"/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1"/>
      <c r="U118" s="141"/>
      <c r="V118" s="141"/>
      <c r="W118" s="141"/>
      <c r="X118" s="254"/>
      <c r="Y118" s="254"/>
      <c r="Z118" s="254"/>
      <c r="AA118" s="254"/>
      <c r="AB118" s="254"/>
      <c r="AC118" s="254"/>
      <c r="AD118" s="254"/>
      <c r="AE118" s="242">
        <f t="shared" si="36"/>
        <v>0</v>
      </c>
      <c r="AF118" s="254"/>
      <c r="AG118" s="255"/>
      <c r="AH118" s="255"/>
      <c r="AI118" s="255"/>
      <c r="AJ118" s="255"/>
      <c r="AK118" s="255"/>
      <c r="AL118" s="255"/>
      <c r="AM118" s="255"/>
      <c r="AN118" s="241"/>
      <c r="AO118" s="255"/>
      <c r="AP118" s="256"/>
      <c r="AQ118" s="256"/>
      <c r="AR118" s="256"/>
      <c r="AS118" s="256"/>
      <c r="AT118" s="256"/>
      <c r="AU118" s="256"/>
      <c r="AV118" s="256"/>
      <c r="AW118" s="259"/>
      <c r="AX118" s="256"/>
      <c r="AY118" s="257"/>
      <c r="AZ118" s="257"/>
      <c r="BA118" s="257"/>
      <c r="BB118" s="257"/>
      <c r="BC118" s="257"/>
      <c r="BD118" s="257"/>
      <c r="BE118" s="257"/>
      <c r="BF118" s="261"/>
      <c r="BG118" s="257"/>
    </row>
    <row r="119" spans="2:59" ht="15" customHeight="1" x14ac:dyDescent="0.25">
      <c r="B119" s="105" t="s">
        <v>569</v>
      </c>
      <c r="C119" s="100"/>
      <c r="D119" s="362" t="s">
        <v>570</v>
      </c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4"/>
      <c r="U119" s="142"/>
      <c r="V119" s="142"/>
      <c r="W119" s="142"/>
      <c r="X119" s="254"/>
      <c r="Y119" s="254"/>
      <c r="Z119" s="254"/>
      <c r="AA119" s="254"/>
      <c r="AB119" s="254"/>
      <c r="AC119" s="254"/>
      <c r="AD119" s="254"/>
      <c r="AE119" s="242">
        <f t="shared" si="36"/>
        <v>0</v>
      </c>
      <c r="AF119" s="254"/>
      <c r="AG119" s="255"/>
      <c r="AH119" s="255"/>
      <c r="AI119" s="255"/>
      <c r="AJ119" s="255"/>
      <c r="AK119" s="255"/>
      <c r="AL119" s="255"/>
      <c r="AM119" s="255"/>
      <c r="AN119" s="241"/>
      <c r="AO119" s="255"/>
      <c r="AP119" s="256"/>
      <c r="AQ119" s="256"/>
      <c r="AR119" s="256"/>
      <c r="AS119" s="256"/>
      <c r="AT119" s="256"/>
      <c r="AU119" s="256"/>
      <c r="AV119" s="256"/>
      <c r="AW119" s="259"/>
      <c r="AX119" s="256"/>
      <c r="AY119" s="257"/>
      <c r="AZ119" s="257"/>
      <c r="BA119" s="257"/>
      <c r="BB119" s="257"/>
      <c r="BC119" s="257"/>
      <c r="BD119" s="257"/>
      <c r="BE119" s="257"/>
      <c r="BF119" s="261"/>
      <c r="BG119" s="257"/>
    </row>
    <row r="120" spans="2:59" ht="48.75" customHeight="1" x14ac:dyDescent="0.25">
      <c r="B120" s="92" t="s">
        <v>571</v>
      </c>
      <c r="C120" s="93"/>
      <c r="D120" s="43" t="s">
        <v>572</v>
      </c>
      <c r="E120" s="54" t="s">
        <v>573</v>
      </c>
      <c r="F120" s="55" t="s">
        <v>574</v>
      </c>
      <c r="G120" s="55" t="s">
        <v>575</v>
      </c>
      <c r="H120" s="55" t="s">
        <v>576</v>
      </c>
      <c r="I120" s="55" t="s">
        <v>298</v>
      </c>
      <c r="J120" s="57"/>
      <c r="K120" s="45">
        <f t="shared" ref="K120:K129" si="37">SUM(L120:Q120)</f>
        <v>1538175.43</v>
      </c>
      <c r="L120" s="45">
        <v>350264.18</v>
      </c>
      <c r="M120" s="45"/>
      <c r="N120" s="45"/>
      <c r="O120" s="45"/>
      <c r="P120" s="45">
        <v>1187911.25</v>
      </c>
      <c r="Q120" s="99"/>
      <c r="R120" s="55">
        <v>2020</v>
      </c>
      <c r="S120" s="46"/>
      <c r="T120" s="86"/>
      <c r="U120" s="46">
        <v>42705</v>
      </c>
      <c r="V120" s="46">
        <v>42719</v>
      </c>
      <c r="W120" s="86">
        <f t="shared" ref="W120:W123" si="38">IF(U120-V120&lt;0,(U120-V120)/30.41667,"–")</f>
        <v>-0.46027392216176194</v>
      </c>
      <c r="X120" s="242" t="s">
        <v>578</v>
      </c>
      <c r="Y120" s="242" t="s">
        <v>579</v>
      </c>
      <c r="Z120" s="242"/>
      <c r="AA120" s="299">
        <v>2.1</v>
      </c>
      <c r="AB120" s="242"/>
      <c r="AC120" s="242"/>
      <c r="AD120" s="242"/>
      <c r="AE120" s="242">
        <f t="shared" si="36"/>
        <v>2.1</v>
      </c>
      <c r="AF120" s="278">
        <v>2.84</v>
      </c>
      <c r="AG120" s="241" t="s">
        <v>580</v>
      </c>
      <c r="AH120" s="241" t="s">
        <v>581</v>
      </c>
      <c r="AI120" s="241"/>
      <c r="AJ120" s="241"/>
      <c r="AK120" s="241"/>
      <c r="AL120" s="241"/>
      <c r="AM120" s="241"/>
      <c r="AN120" s="241">
        <f t="shared" si="31"/>
        <v>0</v>
      </c>
      <c r="AO120" s="279">
        <v>494</v>
      </c>
      <c r="AP120" s="259" t="s">
        <v>582</v>
      </c>
      <c r="AQ120" s="259" t="s">
        <v>583</v>
      </c>
      <c r="AR120" s="259"/>
      <c r="AS120" s="259"/>
      <c r="AT120" s="259"/>
      <c r="AU120" s="259"/>
      <c r="AV120" s="259"/>
      <c r="AW120" s="259">
        <f t="shared" si="32"/>
        <v>0</v>
      </c>
      <c r="AX120" s="280">
        <v>526</v>
      </c>
      <c r="AY120" s="261"/>
      <c r="AZ120" s="261"/>
      <c r="BA120" s="261"/>
      <c r="BB120" s="261"/>
      <c r="BC120" s="261"/>
      <c r="BD120" s="261"/>
      <c r="BE120" s="261"/>
      <c r="BF120" s="261"/>
      <c r="BG120" s="261"/>
    </row>
    <row r="121" spans="2:59" ht="48.75" customHeight="1" x14ac:dyDescent="0.25">
      <c r="B121" s="92" t="s">
        <v>584</v>
      </c>
      <c r="C121" s="93"/>
      <c r="D121" s="47" t="s">
        <v>585</v>
      </c>
      <c r="E121" s="53" t="s">
        <v>586</v>
      </c>
      <c r="F121" s="53" t="s">
        <v>574</v>
      </c>
      <c r="G121" s="53" t="s">
        <v>545</v>
      </c>
      <c r="H121" s="53" t="s">
        <v>576</v>
      </c>
      <c r="I121" s="53" t="s">
        <v>298</v>
      </c>
      <c r="J121" s="52"/>
      <c r="K121" s="45">
        <f t="shared" si="37"/>
        <v>617660.84</v>
      </c>
      <c r="L121" s="49">
        <v>262385.8</v>
      </c>
      <c r="M121" s="45"/>
      <c r="N121" s="49"/>
      <c r="O121" s="49"/>
      <c r="P121" s="49">
        <v>355275.04</v>
      </c>
      <c r="Q121" s="99"/>
      <c r="R121" s="53">
        <v>2019</v>
      </c>
      <c r="S121" s="46"/>
      <c r="T121" s="86"/>
      <c r="U121" s="46">
        <v>42705</v>
      </c>
      <c r="V121" s="46">
        <v>42726</v>
      </c>
      <c r="W121" s="86">
        <f t="shared" si="38"/>
        <v>-0.69041088324264288</v>
      </c>
      <c r="X121" s="242" t="s">
        <v>578</v>
      </c>
      <c r="Y121" s="242" t="s">
        <v>579</v>
      </c>
      <c r="Z121" s="242"/>
      <c r="AA121" s="242"/>
      <c r="AB121" s="242"/>
      <c r="AC121" s="242"/>
      <c r="AD121" s="242"/>
      <c r="AE121" s="242">
        <f t="shared" si="36"/>
        <v>0</v>
      </c>
      <c r="AF121" s="242">
        <v>3</v>
      </c>
      <c r="AG121" s="241" t="s">
        <v>580</v>
      </c>
      <c r="AH121" s="241" t="s">
        <v>581</v>
      </c>
      <c r="AI121" s="241"/>
      <c r="AJ121" s="241"/>
      <c r="AK121" s="241"/>
      <c r="AL121" s="241"/>
      <c r="AM121" s="241"/>
      <c r="AN121" s="241">
        <f t="shared" si="31"/>
        <v>0</v>
      </c>
      <c r="AO121" s="241">
        <v>92</v>
      </c>
      <c r="AP121" s="259" t="s">
        <v>582</v>
      </c>
      <c r="AQ121" s="259" t="s">
        <v>583</v>
      </c>
      <c r="AR121" s="259"/>
      <c r="AS121" s="259"/>
      <c r="AT121" s="259"/>
      <c r="AU121" s="259"/>
      <c r="AV121" s="259"/>
      <c r="AW121" s="259">
        <f t="shared" si="32"/>
        <v>0</v>
      </c>
      <c r="AX121" s="259">
        <v>60</v>
      </c>
      <c r="AY121" s="261" t="s">
        <v>587</v>
      </c>
      <c r="AZ121" s="261" t="s">
        <v>588</v>
      </c>
      <c r="BA121" s="261"/>
      <c r="BB121" s="261"/>
      <c r="BC121" s="261"/>
      <c r="BD121" s="261"/>
      <c r="BE121" s="261"/>
      <c r="BF121" s="261">
        <f t="shared" ref="BF121:BF136" si="39">SUM(BA121:BE121)</f>
        <v>0</v>
      </c>
      <c r="BG121" s="281">
        <v>406</v>
      </c>
    </row>
    <row r="122" spans="2:59" ht="48.75" customHeight="1" x14ac:dyDescent="0.25">
      <c r="B122" s="92" t="s">
        <v>589</v>
      </c>
      <c r="C122" s="93"/>
      <c r="D122" s="47" t="s">
        <v>590</v>
      </c>
      <c r="E122" s="53" t="s">
        <v>591</v>
      </c>
      <c r="F122" s="53" t="s">
        <v>574</v>
      </c>
      <c r="G122" s="53" t="s">
        <v>426</v>
      </c>
      <c r="H122" s="53" t="s">
        <v>576</v>
      </c>
      <c r="I122" s="53" t="s">
        <v>298</v>
      </c>
      <c r="J122" s="52"/>
      <c r="K122" s="45">
        <f t="shared" si="37"/>
        <v>1902679.07</v>
      </c>
      <c r="L122" s="49">
        <v>743921.52</v>
      </c>
      <c r="M122" s="45"/>
      <c r="N122" s="49"/>
      <c r="O122" s="49"/>
      <c r="P122" s="49">
        <v>1158757.55</v>
      </c>
      <c r="Q122" s="99"/>
      <c r="R122" s="53">
        <v>2019</v>
      </c>
      <c r="S122" s="46"/>
      <c r="T122" s="86"/>
      <c r="U122" s="46">
        <v>42705</v>
      </c>
      <c r="V122" s="46">
        <v>42853</v>
      </c>
      <c r="W122" s="86">
        <f t="shared" si="38"/>
        <v>-4.8657528914243411</v>
      </c>
      <c r="X122" s="242" t="s">
        <v>578</v>
      </c>
      <c r="Y122" s="242" t="s">
        <v>579</v>
      </c>
      <c r="Z122" s="242"/>
      <c r="AA122" s="242"/>
      <c r="AB122" s="242"/>
      <c r="AC122" s="242"/>
      <c r="AD122" s="242"/>
      <c r="AE122" s="242">
        <f t="shared" si="36"/>
        <v>0</v>
      </c>
      <c r="AF122" s="242">
        <v>1</v>
      </c>
      <c r="AG122" s="241" t="s">
        <v>580</v>
      </c>
      <c r="AH122" s="241" t="s">
        <v>581</v>
      </c>
      <c r="AI122" s="241"/>
      <c r="AJ122" s="241"/>
      <c r="AK122" s="241"/>
      <c r="AL122" s="241"/>
      <c r="AM122" s="241"/>
      <c r="AN122" s="241">
        <f t="shared" si="31"/>
        <v>0</v>
      </c>
      <c r="AO122" s="241">
        <v>137</v>
      </c>
      <c r="AP122" s="259" t="s">
        <v>582</v>
      </c>
      <c r="AQ122" s="259" t="s">
        <v>583</v>
      </c>
      <c r="AR122" s="259"/>
      <c r="AS122" s="259"/>
      <c r="AT122" s="259"/>
      <c r="AU122" s="259"/>
      <c r="AV122" s="259"/>
      <c r="AW122" s="259">
        <f t="shared" si="32"/>
        <v>0</v>
      </c>
      <c r="AX122" s="259">
        <v>110</v>
      </c>
      <c r="AY122" s="261" t="s">
        <v>592</v>
      </c>
      <c r="AZ122" s="261" t="s">
        <v>593</v>
      </c>
      <c r="BA122" s="261"/>
      <c r="BB122" s="261"/>
      <c r="BC122" s="261"/>
      <c r="BD122" s="261"/>
      <c r="BE122" s="261"/>
      <c r="BF122" s="261">
        <f t="shared" si="39"/>
        <v>0</v>
      </c>
      <c r="BG122" s="261">
        <v>11310</v>
      </c>
    </row>
    <row r="123" spans="2:59" ht="35.25" customHeight="1" x14ac:dyDescent="0.25">
      <c r="B123" s="92" t="s">
        <v>594</v>
      </c>
      <c r="C123" s="93"/>
      <c r="D123" s="47" t="s">
        <v>595</v>
      </c>
      <c r="E123" s="53" t="s">
        <v>596</v>
      </c>
      <c r="F123" s="53" t="s">
        <v>574</v>
      </c>
      <c r="G123" s="53" t="s">
        <v>390</v>
      </c>
      <c r="H123" s="53" t="s">
        <v>576</v>
      </c>
      <c r="I123" s="53" t="s">
        <v>298</v>
      </c>
      <c r="J123" s="52"/>
      <c r="K123" s="45">
        <f t="shared" si="37"/>
        <v>2854494.11</v>
      </c>
      <c r="L123" s="49">
        <v>603558.57999999996</v>
      </c>
      <c r="M123" s="45"/>
      <c r="N123" s="49">
        <v>603558.57999999996</v>
      </c>
      <c r="O123" s="49"/>
      <c r="P123" s="49">
        <v>1647376.95</v>
      </c>
      <c r="Q123" s="99"/>
      <c r="R123" s="53">
        <v>2019</v>
      </c>
      <c r="S123" s="46"/>
      <c r="T123" s="86"/>
      <c r="U123" s="46">
        <v>42705</v>
      </c>
      <c r="V123" s="46">
        <v>42877</v>
      </c>
      <c r="W123" s="86">
        <f t="shared" si="38"/>
        <v>-5.6547939008445036</v>
      </c>
      <c r="X123" s="242" t="s">
        <v>578</v>
      </c>
      <c r="Y123" s="242" t="s">
        <v>579</v>
      </c>
      <c r="Z123" s="300">
        <v>3.21</v>
      </c>
      <c r="AA123" s="299">
        <v>3.3</v>
      </c>
      <c r="AB123" s="301">
        <v>3.67</v>
      </c>
      <c r="AC123" s="242"/>
      <c r="AD123" s="242"/>
      <c r="AE123" s="242">
        <f t="shared" si="36"/>
        <v>10.18</v>
      </c>
      <c r="AF123" s="278">
        <v>7.5</v>
      </c>
      <c r="AG123" s="241" t="s">
        <v>580</v>
      </c>
      <c r="AH123" s="241" t="s">
        <v>581</v>
      </c>
      <c r="AI123" s="241"/>
      <c r="AJ123" s="241"/>
      <c r="AK123" s="241"/>
      <c r="AL123" s="241"/>
      <c r="AM123" s="241"/>
      <c r="AN123" s="241">
        <f t="shared" si="31"/>
        <v>0</v>
      </c>
      <c r="AO123" s="279">
        <v>29</v>
      </c>
      <c r="AP123" s="259" t="s">
        <v>582</v>
      </c>
      <c r="AQ123" s="259" t="s">
        <v>583</v>
      </c>
      <c r="AR123" s="259"/>
      <c r="AS123" s="259"/>
      <c r="AT123" s="259"/>
      <c r="AU123" s="259"/>
      <c r="AV123" s="259"/>
      <c r="AW123" s="259">
        <f t="shared" si="32"/>
        <v>0</v>
      </c>
      <c r="AX123" s="280">
        <v>398</v>
      </c>
      <c r="AY123" s="261" t="s">
        <v>587</v>
      </c>
      <c r="AZ123" s="261" t="s">
        <v>588</v>
      </c>
      <c r="BA123" s="261"/>
      <c r="BB123" s="261"/>
      <c r="BC123" s="261"/>
      <c r="BD123" s="261"/>
      <c r="BE123" s="261"/>
      <c r="BF123" s="261">
        <f t="shared" si="39"/>
        <v>0</v>
      </c>
      <c r="BG123" s="281">
        <v>862</v>
      </c>
    </row>
    <row r="124" spans="2:59" ht="35.25" customHeight="1" x14ac:dyDescent="0.25">
      <c r="B124" s="92" t="s">
        <v>598</v>
      </c>
      <c r="C124" s="93"/>
      <c r="D124" s="47" t="s">
        <v>599</v>
      </c>
      <c r="E124" s="53" t="s">
        <v>573</v>
      </c>
      <c r="F124" s="53" t="s">
        <v>574</v>
      </c>
      <c r="G124" s="53" t="s">
        <v>575</v>
      </c>
      <c r="H124" s="53" t="s">
        <v>576</v>
      </c>
      <c r="I124" s="53" t="s">
        <v>298</v>
      </c>
      <c r="J124" s="48"/>
      <c r="K124" s="45">
        <f t="shared" si="37"/>
        <v>444870</v>
      </c>
      <c r="L124" s="49">
        <v>320131.20000000001</v>
      </c>
      <c r="M124" s="45"/>
      <c r="N124" s="49"/>
      <c r="O124" s="49"/>
      <c r="P124" s="49">
        <v>124738.8</v>
      </c>
      <c r="Q124" s="94"/>
      <c r="R124" s="53">
        <v>2020</v>
      </c>
      <c r="S124" s="46"/>
      <c r="T124" s="86"/>
      <c r="U124" s="46">
        <v>43281</v>
      </c>
      <c r="V124" s="84"/>
      <c r="W124" s="86"/>
      <c r="X124" s="278"/>
      <c r="Y124" s="278"/>
      <c r="Z124" s="278"/>
      <c r="AA124" s="278"/>
      <c r="AB124" s="278"/>
      <c r="AC124" s="278"/>
      <c r="AD124" s="278"/>
      <c r="AE124" s="242"/>
      <c r="AF124" s="278"/>
      <c r="AG124" s="279"/>
      <c r="AH124" s="279"/>
      <c r="AI124" s="279"/>
      <c r="AJ124" s="279"/>
      <c r="AK124" s="279"/>
      <c r="AL124" s="279"/>
      <c r="AM124" s="279"/>
      <c r="AN124" s="241"/>
      <c r="AO124" s="279"/>
      <c r="AP124" s="280" t="s">
        <v>592</v>
      </c>
      <c r="AQ124" s="280" t="s">
        <v>593</v>
      </c>
      <c r="AR124" s="280"/>
      <c r="AS124" s="280"/>
      <c r="AT124" s="280"/>
      <c r="AU124" s="280"/>
      <c r="AV124" s="280"/>
      <c r="AW124" s="259">
        <f t="shared" si="32"/>
        <v>0</v>
      </c>
      <c r="AX124" s="280">
        <v>221</v>
      </c>
      <c r="AY124" s="281" t="s">
        <v>587</v>
      </c>
      <c r="AZ124" s="281" t="s">
        <v>588</v>
      </c>
      <c r="BA124" s="281"/>
      <c r="BB124" s="281"/>
      <c r="BC124" s="281"/>
      <c r="BD124" s="281"/>
      <c r="BE124" s="281"/>
      <c r="BF124" s="261">
        <f t="shared" si="39"/>
        <v>0</v>
      </c>
      <c r="BG124" s="281">
        <v>600</v>
      </c>
    </row>
    <row r="125" spans="2:59" ht="35.25" customHeight="1" x14ac:dyDescent="0.25">
      <c r="B125" s="92" t="s">
        <v>600</v>
      </c>
      <c r="C125" s="93"/>
      <c r="D125" s="47" t="s">
        <v>601</v>
      </c>
      <c r="E125" s="53" t="s">
        <v>586</v>
      </c>
      <c r="F125" s="53" t="s">
        <v>574</v>
      </c>
      <c r="G125" s="53" t="s">
        <v>545</v>
      </c>
      <c r="H125" s="53" t="s">
        <v>576</v>
      </c>
      <c r="I125" s="53" t="s">
        <v>298</v>
      </c>
      <c r="J125" s="48"/>
      <c r="K125" s="45">
        <f t="shared" si="37"/>
        <v>136161.48000000001</v>
      </c>
      <c r="L125" s="49">
        <v>29723.21</v>
      </c>
      <c r="M125" s="45"/>
      <c r="N125" s="49"/>
      <c r="O125" s="49"/>
      <c r="P125" s="49">
        <v>106438.27</v>
      </c>
      <c r="Q125" s="94"/>
      <c r="R125" s="53">
        <v>2019</v>
      </c>
      <c r="S125" s="46"/>
      <c r="T125" s="86"/>
      <c r="U125" s="46">
        <v>43281</v>
      </c>
      <c r="V125" s="84"/>
      <c r="W125" s="86"/>
      <c r="X125" s="278"/>
      <c r="Y125" s="278"/>
      <c r="Z125" s="278"/>
      <c r="AA125" s="278"/>
      <c r="AB125" s="278"/>
      <c r="AC125" s="278"/>
      <c r="AD125" s="278"/>
      <c r="AE125" s="242"/>
      <c r="AF125" s="278"/>
      <c r="AG125" s="279"/>
      <c r="AH125" s="279"/>
      <c r="AI125" s="279"/>
      <c r="AJ125" s="279"/>
      <c r="AK125" s="279"/>
      <c r="AL125" s="279"/>
      <c r="AM125" s="279"/>
      <c r="AN125" s="241"/>
      <c r="AO125" s="279"/>
      <c r="AP125" s="280" t="s">
        <v>582</v>
      </c>
      <c r="AQ125" s="280" t="s">
        <v>583</v>
      </c>
      <c r="AR125" s="280"/>
      <c r="AS125" s="280"/>
      <c r="AT125" s="280"/>
      <c r="AU125" s="280"/>
      <c r="AV125" s="280"/>
      <c r="AW125" s="259">
        <f t="shared" si="32"/>
        <v>0</v>
      </c>
      <c r="AX125" s="280">
        <v>50</v>
      </c>
      <c r="AY125" s="281"/>
      <c r="AZ125" s="281"/>
      <c r="BA125" s="281"/>
      <c r="BB125" s="281"/>
      <c r="BC125" s="281"/>
      <c r="BD125" s="281"/>
      <c r="BE125" s="281"/>
      <c r="BF125" s="261"/>
      <c r="BG125" s="281"/>
    </row>
    <row r="126" spans="2:59" ht="45.75" customHeight="1" x14ac:dyDescent="0.25">
      <c r="B126" s="92" t="s">
        <v>602</v>
      </c>
      <c r="C126" s="93"/>
      <c r="D126" s="47" t="s">
        <v>603</v>
      </c>
      <c r="E126" s="53" t="s">
        <v>591</v>
      </c>
      <c r="F126" s="53" t="s">
        <v>574</v>
      </c>
      <c r="G126" s="53" t="s">
        <v>426</v>
      </c>
      <c r="H126" s="53" t="s">
        <v>576</v>
      </c>
      <c r="I126" s="53" t="s">
        <v>298</v>
      </c>
      <c r="J126" s="48"/>
      <c r="K126" s="45">
        <f t="shared" si="37"/>
        <v>548947.86</v>
      </c>
      <c r="L126" s="49">
        <v>274473.93</v>
      </c>
      <c r="M126" s="45"/>
      <c r="N126" s="49"/>
      <c r="O126" s="49"/>
      <c r="P126" s="49">
        <v>274473.93</v>
      </c>
      <c r="Q126" s="94"/>
      <c r="R126" s="53">
        <v>2020</v>
      </c>
      <c r="S126" s="46"/>
      <c r="T126" s="86"/>
      <c r="U126" s="46">
        <v>43343</v>
      </c>
      <c r="V126" s="84"/>
      <c r="W126" s="86"/>
      <c r="X126" s="278" t="s">
        <v>578</v>
      </c>
      <c r="Y126" s="278" t="s">
        <v>579</v>
      </c>
      <c r="Z126" s="278"/>
      <c r="AA126" s="278"/>
      <c r="AB126" s="278"/>
      <c r="AC126" s="278"/>
      <c r="AD126" s="278"/>
      <c r="AE126" s="242">
        <f t="shared" ref="AE126" si="40">SUM(Z126:AD126)</f>
        <v>0</v>
      </c>
      <c r="AF126" s="288">
        <v>0.22700000000000001</v>
      </c>
      <c r="AG126" s="279" t="s">
        <v>580</v>
      </c>
      <c r="AH126" s="279" t="s">
        <v>581</v>
      </c>
      <c r="AI126" s="279"/>
      <c r="AJ126" s="279"/>
      <c r="AK126" s="279"/>
      <c r="AL126" s="279"/>
      <c r="AM126" s="279"/>
      <c r="AN126" s="241">
        <f t="shared" si="31"/>
        <v>0</v>
      </c>
      <c r="AO126" s="279">
        <v>27</v>
      </c>
      <c r="AP126" s="280" t="s">
        <v>582</v>
      </c>
      <c r="AQ126" s="280" t="s">
        <v>583</v>
      </c>
      <c r="AR126" s="280"/>
      <c r="AS126" s="280"/>
      <c r="AT126" s="280"/>
      <c r="AU126" s="280"/>
      <c r="AV126" s="280"/>
      <c r="AW126" s="259">
        <f t="shared" si="32"/>
        <v>0</v>
      </c>
      <c r="AX126" s="280">
        <v>93</v>
      </c>
      <c r="AY126" s="281"/>
      <c r="AZ126" s="281"/>
      <c r="BA126" s="281"/>
      <c r="BB126" s="281"/>
      <c r="BC126" s="281"/>
      <c r="BD126" s="281"/>
      <c r="BE126" s="281"/>
      <c r="BF126" s="261"/>
      <c r="BG126" s="281"/>
    </row>
    <row r="127" spans="2:59" ht="48" customHeight="1" x14ac:dyDescent="0.25">
      <c r="B127" s="92" t="s">
        <v>604</v>
      </c>
      <c r="C127" s="93"/>
      <c r="D127" s="47" t="s">
        <v>605</v>
      </c>
      <c r="E127" s="53" t="s">
        <v>596</v>
      </c>
      <c r="F127" s="53" t="s">
        <v>574</v>
      </c>
      <c r="G127" s="53" t="s">
        <v>320</v>
      </c>
      <c r="H127" s="53" t="s">
        <v>576</v>
      </c>
      <c r="I127" s="53" t="s">
        <v>298</v>
      </c>
      <c r="J127" s="48"/>
      <c r="K127" s="45">
        <f t="shared" si="37"/>
        <v>646255.83000000007</v>
      </c>
      <c r="L127" s="91">
        <v>150423.45000000001</v>
      </c>
      <c r="M127" s="91"/>
      <c r="N127" s="91">
        <v>150423.45000000001</v>
      </c>
      <c r="O127" s="91"/>
      <c r="P127" s="91">
        <v>345408.93</v>
      </c>
      <c r="Q127" s="94"/>
      <c r="R127" s="53">
        <v>2020</v>
      </c>
      <c r="S127" s="46"/>
      <c r="T127" s="86"/>
      <c r="U127" s="46">
        <v>43281</v>
      </c>
      <c r="V127" s="84"/>
      <c r="W127" s="86"/>
      <c r="X127" s="278" t="s">
        <v>578</v>
      </c>
      <c r="Y127" s="278" t="s">
        <v>579</v>
      </c>
      <c r="Z127" s="278"/>
      <c r="AA127" s="278"/>
      <c r="AB127" s="278"/>
      <c r="AC127" s="278"/>
      <c r="AD127" s="278"/>
      <c r="AE127" s="242">
        <f t="shared" si="36"/>
        <v>0</v>
      </c>
      <c r="AF127" s="288">
        <v>3.45</v>
      </c>
      <c r="AG127" s="279" t="s">
        <v>580</v>
      </c>
      <c r="AH127" s="279" t="s">
        <v>581</v>
      </c>
      <c r="AI127" s="279"/>
      <c r="AJ127" s="279"/>
      <c r="AK127" s="279"/>
      <c r="AL127" s="279"/>
      <c r="AM127" s="279"/>
      <c r="AN127" s="241"/>
      <c r="AO127" s="279">
        <v>25</v>
      </c>
      <c r="AP127" s="280" t="s">
        <v>582</v>
      </c>
      <c r="AQ127" s="280" t="s">
        <v>583</v>
      </c>
      <c r="AR127" s="280"/>
      <c r="AS127" s="280"/>
      <c r="AT127" s="280"/>
      <c r="AU127" s="280"/>
      <c r="AV127" s="280"/>
      <c r="AW127" s="259"/>
      <c r="AX127" s="280">
        <v>32</v>
      </c>
      <c r="AY127" s="281"/>
      <c r="AZ127" s="281"/>
      <c r="BA127" s="281"/>
      <c r="BB127" s="281"/>
      <c r="BC127" s="281"/>
      <c r="BD127" s="281"/>
      <c r="BE127" s="281"/>
      <c r="BF127" s="261"/>
      <c r="BG127" s="281"/>
    </row>
    <row r="128" spans="2:59" ht="15" customHeight="1" x14ac:dyDescent="0.25">
      <c r="B128" s="105" t="s">
        <v>606</v>
      </c>
      <c r="C128" s="100"/>
      <c r="D128" s="362" t="s">
        <v>607</v>
      </c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  <c r="T128" s="364"/>
      <c r="U128" s="142"/>
      <c r="V128" s="142"/>
      <c r="W128" s="142"/>
      <c r="X128" s="254"/>
      <c r="Y128" s="254"/>
      <c r="Z128" s="254"/>
      <c r="AA128" s="254"/>
      <c r="AB128" s="254"/>
      <c r="AC128" s="254"/>
      <c r="AD128" s="254"/>
      <c r="AE128" s="242"/>
      <c r="AF128" s="254"/>
      <c r="AG128" s="255"/>
      <c r="AH128" s="255"/>
      <c r="AI128" s="255"/>
      <c r="AJ128" s="255"/>
      <c r="AK128" s="255"/>
      <c r="AL128" s="255"/>
      <c r="AM128" s="255"/>
      <c r="AN128" s="241"/>
      <c r="AO128" s="255"/>
      <c r="AP128" s="256"/>
      <c r="AQ128" s="256"/>
      <c r="AR128" s="256"/>
      <c r="AS128" s="256"/>
      <c r="AT128" s="256"/>
      <c r="AU128" s="256"/>
      <c r="AV128" s="256"/>
      <c r="AW128" s="259"/>
      <c r="AX128" s="256"/>
      <c r="AY128" s="257"/>
      <c r="AZ128" s="257"/>
      <c r="BA128" s="257"/>
      <c r="BB128" s="257"/>
      <c r="BC128" s="257"/>
      <c r="BD128" s="257"/>
      <c r="BE128" s="257"/>
      <c r="BF128" s="261"/>
      <c r="BG128" s="257"/>
    </row>
    <row r="129" spans="2:59" ht="43.5" customHeight="1" x14ac:dyDescent="0.25">
      <c r="B129" s="92" t="s">
        <v>608</v>
      </c>
      <c r="C129" s="93"/>
      <c r="D129" s="43" t="s">
        <v>609</v>
      </c>
      <c r="E129" s="54" t="s">
        <v>596</v>
      </c>
      <c r="F129" s="55" t="s">
        <v>574</v>
      </c>
      <c r="G129" s="55" t="s">
        <v>390</v>
      </c>
      <c r="H129" s="55" t="s">
        <v>610</v>
      </c>
      <c r="I129" s="55" t="s">
        <v>298</v>
      </c>
      <c r="J129" s="57"/>
      <c r="K129" s="45">
        <f t="shared" si="37"/>
        <v>1681106.52</v>
      </c>
      <c r="L129" s="45">
        <v>252165.98</v>
      </c>
      <c r="M129" s="45"/>
      <c r="N129" s="45"/>
      <c r="O129" s="45"/>
      <c r="P129" s="45">
        <v>1428940.54</v>
      </c>
      <c r="Q129" s="99"/>
      <c r="R129" s="55">
        <v>2020</v>
      </c>
      <c r="S129" s="46"/>
      <c r="T129" s="86"/>
      <c r="U129" s="38">
        <v>42767</v>
      </c>
      <c r="V129" s="46">
        <v>42810</v>
      </c>
      <c r="W129" s="86">
        <f t="shared" ref="W129" si="41">IF(U129-V129&lt;0,(U129-V129)/30.41667,"–")</f>
        <v>-1.4136984752111259</v>
      </c>
      <c r="X129" s="242" t="s">
        <v>611</v>
      </c>
      <c r="Y129" s="242" t="s">
        <v>612</v>
      </c>
      <c r="Z129" s="242"/>
      <c r="AA129" s="242"/>
      <c r="AB129" s="242"/>
      <c r="AC129" s="242"/>
      <c r="AD129" s="242"/>
      <c r="AE129" s="242">
        <f t="shared" si="36"/>
        <v>0</v>
      </c>
      <c r="AF129" s="242">
        <v>125.34</v>
      </c>
      <c r="AG129" s="241" t="s">
        <v>613</v>
      </c>
      <c r="AH129" s="241" t="s">
        <v>614</v>
      </c>
      <c r="AI129" s="241"/>
      <c r="AJ129" s="241"/>
      <c r="AK129" s="241"/>
      <c r="AL129" s="241"/>
      <c r="AM129" s="241"/>
      <c r="AN129" s="241">
        <f t="shared" si="31"/>
        <v>0</v>
      </c>
      <c r="AO129" s="241">
        <v>68.709999999999994</v>
      </c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61"/>
      <c r="AZ129" s="261"/>
      <c r="BA129" s="261"/>
      <c r="BB129" s="261"/>
      <c r="BC129" s="261"/>
      <c r="BD129" s="261"/>
      <c r="BE129" s="261"/>
      <c r="BF129" s="261"/>
      <c r="BG129" s="261"/>
    </row>
    <row r="130" spans="2:59" ht="15" customHeight="1" x14ac:dyDescent="0.25">
      <c r="B130" s="101" t="s">
        <v>674</v>
      </c>
      <c r="C130" s="102"/>
      <c r="D130" s="359" t="s">
        <v>615</v>
      </c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1"/>
      <c r="U130" s="141"/>
      <c r="V130" s="141"/>
      <c r="W130" s="141"/>
      <c r="X130" s="254"/>
      <c r="Y130" s="254"/>
      <c r="Z130" s="254"/>
      <c r="AA130" s="254"/>
      <c r="AB130" s="254"/>
      <c r="AC130" s="254"/>
      <c r="AD130" s="254"/>
      <c r="AE130" s="242"/>
      <c r="AF130" s="254"/>
      <c r="AG130" s="255"/>
      <c r="AH130" s="255"/>
      <c r="AI130" s="255"/>
      <c r="AJ130" s="255"/>
      <c r="AK130" s="255"/>
      <c r="AL130" s="255"/>
      <c r="AM130" s="255"/>
      <c r="AN130" s="241"/>
      <c r="AO130" s="255"/>
      <c r="AP130" s="256"/>
      <c r="AQ130" s="256"/>
      <c r="AR130" s="256"/>
      <c r="AS130" s="256"/>
      <c r="AT130" s="256"/>
      <c r="AU130" s="256"/>
      <c r="AV130" s="256"/>
      <c r="AW130" s="259"/>
      <c r="AX130" s="256"/>
      <c r="AY130" s="257"/>
      <c r="AZ130" s="257"/>
      <c r="BA130" s="257"/>
      <c r="BB130" s="257"/>
      <c r="BC130" s="257"/>
      <c r="BD130" s="257"/>
      <c r="BE130" s="257"/>
      <c r="BF130" s="261"/>
      <c r="BG130" s="257"/>
    </row>
    <row r="131" spans="2:59" ht="15" customHeight="1" x14ac:dyDescent="0.25">
      <c r="B131" s="105" t="s">
        <v>616</v>
      </c>
      <c r="C131" s="100"/>
      <c r="D131" s="362" t="s">
        <v>617</v>
      </c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  <c r="R131" s="363"/>
      <c r="S131" s="363"/>
      <c r="T131" s="364"/>
      <c r="U131" s="142"/>
      <c r="V131" s="142"/>
      <c r="W131" s="142"/>
      <c r="X131" s="254"/>
      <c r="Y131" s="254"/>
      <c r="Z131" s="254"/>
      <c r="AA131" s="254"/>
      <c r="AB131" s="254"/>
      <c r="AC131" s="254"/>
      <c r="AD131" s="254"/>
      <c r="AE131" s="242"/>
      <c r="AF131" s="254"/>
      <c r="AG131" s="255"/>
      <c r="AH131" s="255"/>
      <c r="AI131" s="255"/>
      <c r="AJ131" s="255"/>
      <c r="AK131" s="255"/>
      <c r="AL131" s="255"/>
      <c r="AM131" s="255"/>
      <c r="AN131" s="241"/>
      <c r="AO131" s="255"/>
      <c r="AP131" s="256"/>
      <c r="AQ131" s="256"/>
      <c r="AR131" s="256"/>
      <c r="AS131" s="256"/>
      <c r="AT131" s="256"/>
      <c r="AU131" s="256"/>
      <c r="AV131" s="256"/>
      <c r="AW131" s="259"/>
      <c r="AX131" s="256"/>
      <c r="AY131" s="257"/>
      <c r="AZ131" s="257"/>
      <c r="BA131" s="257"/>
      <c r="BB131" s="257"/>
      <c r="BC131" s="257"/>
      <c r="BD131" s="257"/>
      <c r="BE131" s="257"/>
      <c r="BF131" s="261"/>
      <c r="BG131" s="257"/>
    </row>
    <row r="132" spans="2:59" ht="41.25" customHeight="1" x14ac:dyDescent="0.25">
      <c r="B132" s="92" t="s">
        <v>618</v>
      </c>
      <c r="C132" s="93"/>
      <c r="D132" s="43" t="s">
        <v>619</v>
      </c>
      <c r="E132" s="54" t="s">
        <v>620</v>
      </c>
      <c r="F132" s="55" t="s">
        <v>574</v>
      </c>
      <c r="G132" s="55" t="s">
        <v>433</v>
      </c>
      <c r="H132" s="55" t="s">
        <v>621</v>
      </c>
      <c r="I132" s="55" t="s">
        <v>298</v>
      </c>
      <c r="J132" s="57"/>
      <c r="K132" s="45">
        <f t="shared" ref="K132" si="42">SUM(L132:Q132)</f>
        <v>2800256.02</v>
      </c>
      <c r="L132" s="45"/>
      <c r="M132" s="45"/>
      <c r="N132" s="45"/>
      <c r="O132" s="45">
        <v>420038.40000000002</v>
      </c>
      <c r="P132" s="45">
        <v>2380217.62</v>
      </c>
      <c r="Q132" s="99"/>
      <c r="R132" s="55">
        <v>2018</v>
      </c>
      <c r="S132" s="46"/>
      <c r="T132" s="86"/>
      <c r="U132" s="38">
        <v>42887</v>
      </c>
      <c r="V132" s="46">
        <v>42999</v>
      </c>
      <c r="W132" s="86">
        <f t="shared" ref="W132" si="43">IF(U132-V132&lt;0,(U132-V132)/30.41667,"–")</f>
        <v>-3.6821913772940955</v>
      </c>
      <c r="X132" s="282" t="s">
        <v>622</v>
      </c>
      <c r="Y132" s="283" t="s">
        <v>623</v>
      </c>
      <c r="Z132" s="283"/>
      <c r="AA132" s="283"/>
      <c r="AB132" s="283"/>
      <c r="AC132" s="283"/>
      <c r="AD132" s="283"/>
      <c r="AE132" s="242">
        <f t="shared" si="36"/>
        <v>0</v>
      </c>
      <c r="AF132" s="284">
        <v>5100</v>
      </c>
      <c r="AG132" s="241"/>
      <c r="AH132" s="285"/>
      <c r="AI132" s="285"/>
      <c r="AJ132" s="285"/>
      <c r="AK132" s="285"/>
      <c r="AL132" s="285"/>
      <c r="AM132" s="285"/>
      <c r="AN132" s="241"/>
      <c r="AO132" s="285"/>
      <c r="AP132" s="259"/>
      <c r="AQ132" s="259"/>
      <c r="AR132" s="286"/>
      <c r="AS132" s="286"/>
      <c r="AT132" s="286"/>
      <c r="AU132" s="286"/>
      <c r="AV132" s="286"/>
      <c r="AW132" s="259"/>
      <c r="AX132" s="259"/>
      <c r="AY132" s="261"/>
      <c r="AZ132" s="261"/>
      <c r="BA132" s="287"/>
      <c r="BB132" s="287"/>
      <c r="BC132" s="287"/>
      <c r="BD132" s="287"/>
      <c r="BE132" s="287"/>
      <c r="BF132" s="261"/>
      <c r="BG132" s="261"/>
    </row>
    <row r="133" spans="2:59" ht="15" customHeight="1" x14ac:dyDescent="0.25">
      <c r="B133" s="101" t="s">
        <v>675</v>
      </c>
      <c r="C133" s="102"/>
      <c r="D133" s="359" t="s">
        <v>624</v>
      </c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1"/>
      <c r="U133" s="141"/>
      <c r="V133" s="141"/>
      <c r="W133" s="141"/>
      <c r="X133" s="254"/>
      <c r="Y133" s="254"/>
      <c r="Z133" s="254"/>
      <c r="AA133" s="254"/>
      <c r="AB133" s="254"/>
      <c r="AC133" s="254"/>
      <c r="AD133" s="254"/>
      <c r="AE133" s="242"/>
      <c r="AF133" s="254"/>
      <c r="AG133" s="255"/>
      <c r="AH133" s="255"/>
      <c r="AI133" s="255"/>
      <c r="AJ133" s="255"/>
      <c r="AK133" s="255"/>
      <c r="AL133" s="255"/>
      <c r="AM133" s="255"/>
      <c r="AN133" s="241"/>
      <c r="AO133" s="255"/>
      <c r="AP133" s="256"/>
      <c r="AQ133" s="256"/>
      <c r="AR133" s="256"/>
      <c r="AS133" s="256"/>
      <c r="AT133" s="256"/>
      <c r="AU133" s="256"/>
      <c r="AV133" s="256"/>
      <c r="AW133" s="259"/>
      <c r="AX133" s="256"/>
      <c r="AY133" s="257"/>
      <c r="AZ133" s="257"/>
      <c r="BA133" s="257"/>
      <c r="BB133" s="257"/>
      <c r="BC133" s="257"/>
      <c r="BD133" s="257"/>
      <c r="BE133" s="257"/>
      <c r="BF133" s="261"/>
      <c r="BG133" s="257"/>
    </row>
    <row r="134" spans="2:59" ht="15" customHeight="1" x14ac:dyDescent="0.25">
      <c r="B134" s="101" t="s">
        <v>676</v>
      </c>
      <c r="C134" s="102"/>
      <c r="D134" s="359" t="s">
        <v>625</v>
      </c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1"/>
      <c r="U134" s="141"/>
      <c r="V134" s="141"/>
      <c r="W134" s="141"/>
      <c r="X134" s="254"/>
      <c r="Y134" s="254"/>
      <c r="Z134" s="254"/>
      <c r="AA134" s="254"/>
      <c r="AB134" s="254"/>
      <c r="AC134" s="254"/>
      <c r="AD134" s="254"/>
      <c r="AE134" s="242"/>
      <c r="AF134" s="254"/>
      <c r="AG134" s="255"/>
      <c r="AH134" s="255"/>
      <c r="AI134" s="255"/>
      <c r="AJ134" s="255"/>
      <c r="AK134" s="255"/>
      <c r="AL134" s="255"/>
      <c r="AM134" s="255"/>
      <c r="AN134" s="241"/>
      <c r="AO134" s="255"/>
      <c r="AP134" s="256"/>
      <c r="AQ134" s="256"/>
      <c r="AR134" s="256"/>
      <c r="AS134" s="256"/>
      <c r="AT134" s="256"/>
      <c r="AU134" s="256"/>
      <c r="AV134" s="256"/>
      <c r="AW134" s="259"/>
      <c r="AX134" s="256"/>
      <c r="AY134" s="257"/>
      <c r="AZ134" s="257"/>
      <c r="BA134" s="257"/>
      <c r="BB134" s="257"/>
      <c r="BC134" s="257"/>
      <c r="BD134" s="257"/>
      <c r="BE134" s="257"/>
      <c r="BF134" s="261"/>
      <c r="BG134" s="257"/>
    </row>
    <row r="135" spans="2:59" x14ac:dyDescent="0.25">
      <c r="B135" s="105" t="s">
        <v>626</v>
      </c>
      <c r="C135" s="100"/>
      <c r="D135" s="362" t="s">
        <v>627</v>
      </c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3"/>
      <c r="S135" s="363"/>
      <c r="T135" s="364"/>
      <c r="U135" s="142"/>
      <c r="V135" s="142"/>
      <c r="W135" s="142"/>
      <c r="X135" s="254"/>
      <c r="Y135" s="254"/>
      <c r="Z135" s="254"/>
      <c r="AA135" s="254"/>
      <c r="AB135" s="254"/>
      <c r="AC135" s="254"/>
      <c r="AD135" s="254"/>
      <c r="AE135" s="242"/>
      <c r="AF135" s="254"/>
      <c r="AG135" s="255"/>
      <c r="AH135" s="255"/>
      <c r="AI135" s="255"/>
      <c r="AJ135" s="255"/>
      <c r="AK135" s="255"/>
      <c r="AL135" s="255"/>
      <c r="AM135" s="255"/>
      <c r="AN135" s="241"/>
      <c r="AO135" s="255"/>
      <c r="AP135" s="256"/>
      <c r="AQ135" s="256"/>
      <c r="AR135" s="256"/>
      <c r="AS135" s="256"/>
      <c r="AT135" s="256"/>
      <c r="AU135" s="256"/>
      <c r="AV135" s="256"/>
      <c r="AW135" s="259"/>
      <c r="AX135" s="256"/>
      <c r="AY135" s="257"/>
      <c r="AZ135" s="257"/>
      <c r="BA135" s="257"/>
      <c r="BB135" s="257"/>
      <c r="BC135" s="257"/>
      <c r="BD135" s="257"/>
      <c r="BE135" s="257"/>
      <c r="BF135" s="261"/>
      <c r="BG135" s="257"/>
    </row>
    <row r="136" spans="2:59" ht="32.25" customHeight="1" x14ac:dyDescent="0.25">
      <c r="B136" s="107" t="s">
        <v>628</v>
      </c>
      <c r="C136" s="93"/>
      <c r="D136" s="47" t="s">
        <v>629</v>
      </c>
      <c r="E136" s="53" t="s">
        <v>308</v>
      </c>
      <c r="F136" s="53" t="s">
        <v>574</v>
      </c>
      <c r="G136" s="53" t="s">
        <v>545</v>
      </c>
      <c r="H136" s="53" t="s">
        <v>630</v>
      </c>
      <c r="I136" s="53" t="s">
        <v>298</v>
      </c>
      <c r="J136" s="53"/>
      <c r="K136" s="45">
        <f t="shared" ref="K136:K142" si="44">SUM(L136:Q136)</f>
        <v>363047.26</v>
      </c>
      <c r="L136" s="49">
        <v>54457.09</v>
      </c>
      <c r="M136" s="49"/>
      <c r="N136" s="49"/>
      <c r="O136" s="49"/>
      <c r="P136" s="49">
        <v>308590.17</v>
      </c>
      <c r="Q136" s="216"/>
      <c r="R136" s="53">
        <v>2018</v>
      </c>
      <c r="S136" s="46"/>
      <c r="T136" s="86"/>
      <c r="U136" s="39">
        <v>42887</v>
      </c>
      <c r="V136" s="46">
        <v>42878</v>
      </c>
      <c r="W136" s="86" t="str">
        <f t="shared" ref="W136:W141" si="45">IF(U136-V136&lt;0,(U136-V136)/30.41667,"–")</f>
        <v>–</v>
      </c>
      <c r="X136" s="242" t="s">
        <v>631</v>
      </c>
      <c r="Y136" s="242" t="s">
        <v>632</v>
      </c>
      <c r="Z136" s="242"/>
      <c r="AA136" s="242"/>
      <c r="AB136" s="242"/>
      <c r="AC136" s="242"/>
      <c r="AD136" s="242"/>
      <c r="AE136" s="242">
        <f t="shared" si="36"/>
        <v>0</v>
      </c>
      <c r="AF136" s="242">
        <v>5.5</v>
      </c>
      <c r="AG136" s="241" t="s">
        <v>633</v>
      </c>
      <c r="AH136" s="241" t="s">
        <v>634</v>
      </c>
      <c r="AI136" s="241"/>
      <c r="AJ136" s="241"/>
      <c r="AK136" s="241"/>
      <c r="AL136" s="241"/>
      <c r="AM136" s="241"/>
      <c r="AN136" s="241">
        <f t="shared" si="31"/>
        <v>0</v>
      </c>
      <c r="AO136" s="241">
        <v>1</v>
      </c>
      <c r="AP136" s="259" t="s">
        <v>635</v>
      </c>
      <c r="AQ136" s="266" t="s">
        <v>636</v>
      </c>
      <c r="AR136" s="259"/>
      <c r="AS136" s="259"/>
      <c r="AT136" s="259"/>
      <c r="AU136" s="259"/>
      <c r="AV136" s="259"/>
      <c r="AW136" s="259">
        <f t="shared" si="32"/>
        <v>0</v>
      </c>
      <c r="AX136" s="259">
        <v>2</v>
      </c>
      <c r="AY136" s="261" t="s">
        <v>637</v>
      </c>
      <c r="AZ136" s="261" t="s">
        <v>638</v>
      </c>
      <c r="BA136" s="261"/>
      <c r="BB136" s="261"/>
      <c r="BC136" s="261"/>
      <c r="BD136" s="261"/>
      <c r="BE136" s="261"/>
      <c r="BF136" s="261">
        <f t="shared" si="39"/>
        <v>0</v>
      </c>
      <c r="BG136" s="261">
        <v>2</v>
      </c>
    </row>
    <row r="137" spans="2:59" ht="34.5" customHeight="1" x14ac:dyDescent="0.25">
      <c r="B137" s="107" t="s">
        <v>639</v>
      </c>
      <c r="C137" s="93"/>
      <c r="D137" s="47" t="s">
        <v>640</v>
      </c>
      <c r="E137" s="53" t="s">
        <v>328</v>
      </c>
      <c r="F137" s="53" t="s">
        <v>574</v>
      </c>
      <c r="G137" s="53" t="s">
        <v>426</v>
      </c>
      <c r="H137" s="53" t="s">
        <v>630</v>
      </c>
      <c r="I137" s="53" t="s">
        <v>298</v>
      </c>
      <c r="J137" s="53"/>
      <c r="K137" s="45">
        <f t="shared" si="44"/>
        <v>53554.71</v>
      </c>
      <c r="L137" s="49">
        <v>8033.21</v>
      </c>
      <c r="M137" s="49"/>
      <c r="N137" s="49"/>
      <c r="O137" s="49"/>
      <c r="P137" s="49">
        <v>45521.5</v>
      </c>
      <c r="Q137" s="216"/>
      <c r="R137" s="50">
        <v>43281</v>
      </c>
      <c r="S137" s="46">
        <v>43272</v>
      </c>
      <c r="T137" s="86" t="str">
        <f t="shared" ref="T137" si="46">IF(R137-S137&lt;0,(R137-S137)/30.41667,"–")</f>
        <v>–</v>
      </c>
      <c r="U137" s="39">
        <v>42795</v>
      </c>
      <c r="V137" s="46">
        <v>42961</v>
      </c>
      <c r="W137" s="86">
        <f t="shared" si="45"/>
        <v>-5.4575336484894628</v>
      </c>
      <c r="X137" s="242" t="s">
        <v>631</v>
      </c>
      <c r="Y137" s="242" t="s">
        <v>632</v>
      </c>
      <c r="Z137" s="299">
        <v>0.01</v>
      </c>
      <c r="AA137" s="301">
        <v>0.52</v>
      </c>
      <c r="AB137" s="242"/>
      <c r="AC137" s="242"/>
      <c r="AD137" s="242"/>
      <c r="AE137" s="242">
        <f t="shared" si="36"/>
        <v>0.53</v>
      </c>
      <c r="AF137" s="242">
        <f>0.7-0.18</f>
        <v>0.52</v>
      </c>
      <c r="AG137" s="241" t="s">
        <v>635</v>
      </c>
      <c r="AH137" s="241" t="s">
        <v>636</v>
      </c>
      <c r="AI137" s="299">
        <v>1</v>
      </c>
      <c r="AJ137" s="301">
        <v>3</v>
      </c>
      <c r="AK137" s="241"/>
      <c r="AL137" s="241"/>
      <c r="AM137" s="241"/>
      <c r="AN137" s="241">
        <f t="shared" si="31"/>
        <v>4</v>
      </c>
      <c r="AO137" s="241">
        <v>3</v>
      </c>
      <c r="AP137" s="266"/>
      <c r="AQ137" s="266"/>
      <c r="AR137" s="259"/>
      <c r="AS137" s="259"/>
      <c r="AT137" s="259"/>
      <c r="AU137" s="259"/>
      <c r="AV137" s="259"/>
      <c r="AW137" s="259"/>
      <c r="AX137" s="266"/>
      <c r="AY137" s="261"/>
      <c r="AZ137" s="261"/>
      <c r="BA137" s="261"/>
      <c r="BB137" s="261"/>
      <c r="BC137" s="261"/>
      <c r="BD137" s="261"/>
      <c r="BE137" s="261"/>
      <c r="BF137" s="261"/>
      <c r="BG137" s="261"/>
    </row>
    <row r="138" spans="2:59" ht="22.5" customHeight="1" x14ac:dyDescent="0.25">
      <c r="B138" s="107" t="s">
        <v>641</v>
      </c>
      <c r="C138" s="93"/>
      <c r="D138" s="47" t="s">
        <v>642</v>
      </c>
      <c r="E138" s="53" t="s">
        <v>328</v>
      </c>
      <c r="F138" s="53" t="s">
        <v>574</v>
      </c>
      <c r="G138" s="53" t="s">
        <v>426</v>
      </c>
      <c r="H138" s="53" t="s">
        <v>630</v>
      </c>
      <c r="I138" s="53" t="s">
        <v>298</v>
      </c>
      <c r="J138" s="53"/>
      <c r="K138" s="45">
        <f t="shared" si="44"/>
        <v>920732.19</v>
      </c>
      <c r="L138" s="49">
        <v>138109.82</v>
      </c>
      <c r="M138" s="49"/>
      <c r="N138" s="49"/>
      <c r="O138" s="49"/>
      <c r="P138" s="49">
        <v>782622.37</v>
      </c>
      <c r="Q138" s="216"/>
      <c r="R138" s="53">
        <v>2021</v>
      </c>
      <c r="S138" s="46"/>
      <c r="T138" s="86"/>
      <c r="U138" s="39">
        <v>43525</v>
      </c>
      <c r="V138" s="84"/>
      <c r="W138" s="86"/>
      <c r="X138" s="242" t="s">
        <v>631</v>
      </c>
      <c r="Y138" s="242" t="s">
        <v>632</v>
      </c>
      <c r="Z138" s="242"/>
      <c r="AA138" s="242"/>
      <c r="AB138" s="242"/>
      <c r="AC138" s="242"/>
      <c r="AD138" s="242"/>
      <c r="AE138" s="242">
        <f t="shared" si="36"/>
        <v>0</v>
      </c>
      <c r="AF138" s="242">
        <f>7.3+0.18</f>
        <v>7.4799999999999995</v>
      </c>
      <c r="AG138" s="241" t="s">
        <v>643</v>
      </c>
      <c r="AH138" s="241" t="s">
        <v>644</v>
      </c>
      <c r="AI138" s="241"/>
      <c r="AJ138" s="241"/>
      <c r="AK138" s="241"/>
      <c r="AL138" s="241"/>
      <c r="AM138" s="241"/>
      <c r="AN138" s="241">
        <f t="shared" si="31"/>
        <v>0</v>
      </c>
      <c r="AO138" s="241">
        <v>2</v>
      </c>
      <c r="AP138" s="259" t="s">
        <v>637</v>
      </c>
      <c r="AQ138" s="259" t="s">
        <v>638</v>
      </c>
      <c r="AR138" s="259"/>
      <c r="AS138" s="259"/>
      <c r="AT138" s="259"/>
      <c r="AU138" s="259"/>
      <c r="AV138" s="259"/>
      <c r="AW138" s="259">
        <f t="shared" si="32"/>
        <v>0</v>
      </c>
      <c r="AX138" s="259">
        <v>1</v>
      </c>
      <c r="AY138" s="270"/>
      <c r="AZ138" s="270"/>
      <c r="BA138" s="261"/>
      <c r="BB138" s="261"/>
      <c r="BC138" s="261"/>
      <c r="BD138" s="261"/>
      <c r="BE138" s="261"/>
      <c r="BF138" s="261"/>
      <c r="BG138" s="270"/>
    </row>
    <row r="139" spans="2:59" ht="24" x14ac:dyDescent="0.25">
      <c r="B139" s="107" t="s">
        <v>645</v>
      </c>
      <c r="C139" s="93"/>
      <c r="D139" s="47" t="s">
        <v>646</v>
      </c>
      <c r="E139" s="53" t="s">
        <v>328</v>
      </c>
      <c r="F139" s="53" t="s">
        <v>574</v>
      </c>
      <c r="G139" s="53" t="s">
        <v>426</v>
      </c>
      <c r="H139" s="53" t="s">
        <v>630</v>
      </c>
      <c r="I139" s="53" t="s">
        <v>298</v>
      </c>
      <c r="J139" s="53" t="s">
        <v>647</v>
      </c>
      <c r="K139" s="45">
        <f t="shared" si="44"/>
        <v>296511.84999999998</v>
      </c>
      <c r="L139" s="49">
        <v>44476.78</v>
      </c>
      <c r="M139" s="49"/>
      <c r="N139" s="49"/>
      <c r="O139" s="49"/>
      <c r="P139" s="49">
        <v>252035.07</v>
      </c>
      <c r="Q139" s="216"/>
      <c r="R139" s="53"/>
      <c r="S139" s="46"/>
      <c r="T139" s="86"/>
      <c r="U139" s="39"/>
      <c r="V139" s="84"/>
      <c r="W139" s="86"/>
      <c r="X139" s="242"/>
      <c r="Y139" s="242"/>
      <c r="Z139" s="242"/>
      <c r="AA139" s="242"/>
      <c r="AB139" s="242"/>
      <c r="AC139" s="242"/>
      <c r="AD139" s="242"/>
      <c r="AE139" s="242">
        <f t="shared" si="36"/>
        <v>0</v>
      </c>
      <c r="AF139" s="242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61"/>
      <c r="AZ139" s="261"/>
      <c r="BA139" s="261"/>
      <c r="BB139" s="261"/>
      <c r="BC139" s="261"/>
      <c r="BD139" s="261"/>
      <c r="BE139" s="261"/>
      <c r="BF139" s="261"/>
      <c r="BG139" s="261"/>
    </row>
    <row r="140" spans="2:59" ht="35.25" customHeight="1" x14ac:dyDescent="0.25">
      <c r="B140" s="107" t="s">
        <v>648</v>
      </c>
      <c r="C140" s="93"/>
      <c r="D140" s="47" t="s">
        <v>649</v>
      </c>
      <c r="E140" s="53" t="s">
        <v>304</v>
      </c>
      <c r="F140" s="53" t="s">
        <v>574</v>
      </c>
      <c r="G140" s="53" t="s">
        <v>390</v>
      </c>
      <c r="H140" s="53" t="s">
        <v>630</v>
      </c>
      <c r="I140" s="53" t="s">
        <v>298</v>
      </c>
      <c r="J140" s="53"/>
      <c r="K140" s="45">
        <f t="shared" si="44"/>
        <v>351002.55</v>
      </c>
      <c r="L140" s="49">
        <v>52650.39</v>
      </c>
      <c r="M140" s="49"/>
      <c r="N140" s="49"/>
      <c r="O140" s="49"/>
      <c r="P140" s="49">
        <v>298352.15999999997</v>
      </c>
      <c r="Q140" s="216"/>
      <c r="R140" s="53">
        <v>2019</v>
      </c>
      <c r="S140" s="46"/>
      <c r="T140" s="86"/>
      <c r="U140" s="39">
        <v>42795</v>
      </c>
      <c r="V140" s="46">
        <v>42835</v>
      </c>
      <c r="W140" s="86">
        <f t="shared" si="45"/>
        <v>-1.3150683490336057</v>
      </c>
      <c r="X140" s="242" t="s">
        <v>631</v>
      </c>
      <c r="Y140" s="242" t="s">
        <v>650</v>
      </c>
      <c r="Z140" s="242"/>
      <c r="AA140" s="242"/>
      <c r="AB140" s="242"/>
      <c r="AC140" s="242"/>
      <c r="AD140" s="242"/>
      <c r="AE140" s="242">
        <f t="shared" si="36"/>
        <v>0</v>
      </c>
      <c r="AF140" s="242">
        <v>4</v>
      </c>
      <c r="AG140" s="241" t="s">
        <v>637</v>
      </c>
      <c r="AH140" s="241" t="s">
        <v>638</v>
      </c>
      <c r="AI140" s="241"/>
      <c r="AJ140" s="241"/>
      <c r="AK140" s="241"/>
      <c r="AL140" s="241"/>
      <c r="AM140" s="241"/>
      <c r="AN140" s="241">
        <f t="shared" si="31"/>
        <v>0</v>
      </c>
      <c r="AO140" s="241">
        <v>1</v>
      </c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70"/>
      <c r="AZ140" s="270"/>
      <c r="BA140" s="261"/>
      <c r="BB140" s="261"/>
      <c r="BC140" s="261"/>
      <c r="BD140" s="261"/>
      <c r="BE140" s="261"/>
      <c r="BF140" s="261"/>
      <c r="BG140" s="270"/>
    </row>
    <row r="141" spans="2:59" ht="34.5" customHeight="1" x14ac:dyDescent="0.25">
      <c r="B141" s="107" t="s">
        <v>651</v>
      </c>
      <c r="C141" s="93"/>
      <c r="D141" s="47" t="s">
        <v>652</v>
      </c>
      <c r="E141" s="53" t="s">
        <v>294</v>
      </c>
      <c r="F141" s="53" t="s">
        <v>574</v>
      </c>
      <c r="G141" s="53" t="s">
        <v>575</v>
      </c>
      <c r="H141" s="53" t="s">
        <v>630</v>
      </c>
      <c r="I141" s="53" t="s">
        <v>298</v>
      </c>
      <c r="J141" s="53"/>
      <c r="K141" s="45">
        <f t="shared" si="44"/>
        <v>419348</v>
      </c>
      <c r="L141" s="49">
        <v>62902.2</v>
      </c>
      <c r="M141" s="49"/>
      <c r="N141" s="49"/>
      <c r="O141" s="49"/>
      <c r="P141" s="49">
        <v>356445.8</v>
      </c>
      <c r="Q141" s="216"/>
      <c r="R141" s="53">
        <v>2019</v>
      </c>
      <c r="S141" s="46"/>
      <c r="T141" s="86"/>
      <c r="U141" s="39">
        <v>42795</v>
      </c>
      <c r="V141" s="46">
        <v>42845</v>
      </c>
      <c r="W141" s="86">
        <f t="shared" si="45"/>
        <v>-1.6438354362920069</v>
      </c>
      <c r="X141" s="242" t="s">
        <v>631</v>
      </c>
      <c r="Y141" s="242" t="s">
        <v>650</v>
      </c>
      <c r="Z141" s="242"/>
      <c r="AA141" s="242"/>
      <c r="AB141" s="242"/>
      <c r="AC141" s="242"/>
      <c r="AD141" s="242"/>
      <c r="AE141" s="242">
        <f t="shared" si="36"/>
        <v>0</v>
      </c>
      <c r="AF141" s="242">
        <v>3.47</v>
      </c>
      <c r="AG141" s="241" t="s">
        <v>637</v>
      </c>
      <c r="AH141" s="241" t="s">
        <v>638</v>
      </c>
      <c r="AI141" s="241"/>
      <c r="AJ141" s="241"/>
      <c r="AK141" s="241"/>
      <c r="AL141" s="241"/>
      <c r="AM141" s="241"/>
      <c r="AN141" s="241">
        <f t="shared" si="31"/>
        <v>0</v>
      </c>
      <c r="AO141" s="241">
        <v>1</v>
      </c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61"/>
      <c r="AZ141" s="261"/>
      <c r="BA141" s="261"/>
      <c r="BB141" s="261"/>
      <c r="BC141" s="261"/>
      <c r="BD141" s="261"/>
      <c r="BE141" s="261"/>
      <c r="BF141" s="261"/>
      <c r="BG141" s="261"/>
    </row>
    <row r="142" spans="2:59" ht="63.75" customHeight="1" x14ac:dyDescent="0.25">
      <c r="B142" s="107" t="s">
        <v>653</v>
      </c>
      <c r="C142" s="93"/>
      <c r="D142" s="43" t="s">
        <v>654</v>
      </c>
      <c r="E142" s="54" t="s">
        <v>294</v>
      </c>
      <c r="F142" s="55" t="s">
        <v>574</v>
      </c>
      <c r="G142" s="55" t="s">
        <v>575</v>
      </c>
      <c r="H142" s="55" t="s">
        <v>630</v>
      </c>
      <c r="I142" s="55" t="s">
        <v>298</v>
      </c>
      <c r="J142" s="55"/>
      <c r="K142" s="45">
        <f t="shared" si="44"/>
        <v>129411.77</v>
      </c>
      <c r="L142" s="45">
        <v>19411.77</v>
      </c>
      <c r="M142" s="45"/>
      <c r="N142" s="45"/>
      <c r="O142" s="45"/>
      <c r="P142" s="49">
        <v>110000</v>
      </c>
      <c r="Q142" s="216"/>
      <c r="R142" s="55">
        <v>2021</v>
      </c>
      <c r="S142" s="46"/>
      <c r="T142" s="86"/>
      <c r="U142" s="39">
        <v>43525</v>
      </c>
      <c r="V142" s="84"/>
      <c r="W142" s="86"/>
      <c r="X142" s="242" t="s">
        <v>631</v>
      </c>
      <c r="Y142" s="242" t="s">
        <v>632</v>
      </c>
      <c r="Z142" s="242"/>
      <c r="AA142" s="242"/>
      <c r="AB142" s="242"/>
      <c r="AC142" s="242"/>
      <c r="AD142" s="242"/>
      <c r="AE142" s="242">
        <f t="shared" si="36"/>
        <v>0</v>
      </c>
      <c r="AF142" s="242">
        <v>1.1000000000000001</v>
      </c>
      <c r="AG142" s="241" t="s">
        <v>633</v>
      </c>
      <c r="AH142" s="241" t="s">
        <v>634</v>
      </c>
      <c r="AI142" s="241"/>
      <c r="AJ142" s="241"/>
      <c r="AK142" s="241"/>
      <c r="AL142" s="241"/>
      <c r="AM142" s="241"/>
      <c r="AN142" s="241">
        <f t="shared" si="31"/>
        <v>0</v>
      </c>
      <c r="AO142" s="241">
        <v>1</v>
      </c>
      <c r="AP142" s="259" t="s">
        <v>635</v>
      </c>
      <c r="AQ142" s="259" t="s">
        <v>636</v>
      </c>
      <c r="AR142" s="259"/>
      <c r="AS142" s="259"/>
      <c r="AT142" s="259"/>
      <c r="AU142" s="259"/>
      <c r="AV142" s="259"/>
      <c r="AW142" s="259">
        <f>SUM(AR142:AV142)</f>
        <v>0</v>
      </c>
      <c r="AX142" s="259">
        <v>3</v>
      </c>
      <c r="AY142" s="270"/>
      <c r="AZ142" s="270"/>
      <c r="BA142" s="261"/>
      <c r="BB142" s="261"/>
      <c r="BC142" s="261"/>
      <c r="BD142" s="261"/>
      <c r="BE142" s="261"/>
      <c r="BF142" s="261"/>
      <c r="BG142" s="270"/>
    </row>
    <row r="143" spans="2:59" x14ac:dyDescent="0.25">
      <c r="B143" s="230" t="s">
        <v>23</v>
      </c>
      <c r="C143" s="231"/>
      <c r="D143" s="231"/>
      <c r="E143" s="231"/>
      <c r="F143" s="231"/>
      <c r="G143" s="231"/>
      <c r="H143" s="231"/>
      <c r="I143" s="231"/>
      <c r="J143" s="232"/>
      <c r="K143" s="217">
        <f t="shared" ref="K143:P143" si="47">SUM(K12:K142)-K139</f>
        <v>41999733.474117652</v>
      </c>
      <c r="L143" s="217">
        <f t="shared" si="47"/>
        <v>7601671.2264705896</v>
      </c>
      <c r="M143" s="217">
        <f t="shared" si="47"/>
        <v>602344.81764705898</v>
      </c>
      <c r="N143" s="217">
        <f t="shared" si="47"/>
        <v>780124.34999999986</v>
      </c>
      <c r="O143" s="217">
        <f t="shared" si="47"/>
        <v>840163.01</v>
      </c>
      <c r="P143" s="217">
        <f t="shared" si="47"/>
        <v>28854068.070000004</v>
      </c>
      <c r="Q143" s="99"/>
      <c r="R143" s="67"/>
      <c r="S143" s="41"/>
      <c r="T143" s="41"/>
      <c r="U143" s="67"/>
      <c r="V143" s="41"/>
      <c r="W143" s="41"/>
    </row>
    <row r="144" spans="2:59" ht="15.75" x14ac:dyDescent="0.25">
      <c r="B144" s="82" t="s">
        <v>41</v>
      </c>
    </row>
    <row r="145" spans="2:26" ht="15.75" x14ac:dyDescent="0.25">
      <c r="B145" s="82"/>
    </row>
    <row r="146" spans="2:26" ht="15.75" x14ac:dyDescent="0.25">
      <c r="B146" s="82"/>
      <c r="Y146" s="326"/>
      <c r="Z146" s="245" t="s">
        <v>785</v>
      </c>
    </row>
    <row r="147" spans="2:26" ht="15.75" customHeight="1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Y147" s="327"/>
      <c r="Z147" s="245" t="s">
        <v>786</v>
      </c>
    </row>
    <row r="148" spans="2:26" x14ac:dyDescent="0.25">
      <c r="Y148" s="328"/>
      <c r="Z148" s="245" t="s">
        <v>787</v>
      </c>
    </row>
  </sheetData>
  <autoFilter ref="Y7:BG144"/>
  <mergeCells count="56">
    <mergeCell ref="D9:T9"/>
    <mergeCell ref="D10:T10"/>
    <mergeCell ref="D11:T11"/>
    <mergeCell ref="D14:T14"/>
    <mergeCell ref="S5:T5"/>
    <mergeCell ref="B6:J6"/>
    <mergeCell ref="K6:Q6"/>
    <mergeCell ref="R6:T6"/>
    <mergeCell ref="D8:T8"/>
    <mergeCell ref="D62:T62"/>
    <mergeCell ref="D67:T67"/>
    <mergeCell ref="D71:T71"/>
    <mergeCell ref="D19:T19"/>
    <mergeCell ref="D17:T17"/>
    <mergeCell ref="D40:T40"/>
    <mergeCell ref="D42:T42"/>
    <mergeCell ref="D43:T43"/>
    <mergeCell ref="D22:J22"/>
    <mergeCell ref="D57:T57"/>
    <mergeCell ref="D24:T24"/>
    <mergeCell ref="D25:T25"/>
    <mergeCell ref="D26:T26"/>
    <mergeCell ref="D32:T32"/>
    <mergeCell ref="D35:T35"/>
    <mergeCell ref="D134:T134"/>
    <mergeCell ref="D135:T135"/>
    <mergeCell ref="D111:T111"/>
    <mergeCell ref="D82:T82"/>
    <mergeCell ref="D100:T100"/>
    <mergeCell ref="D101:T101"/>
    <mergeCell ref="D106:T106"/>
    <mergeCell ref="D119:T119"/>
    <mergeCell ref="D128:T128"/>
    <mergeCell ref="D130:T130"/>
    <mergeCell ref="D131:T131"/>
    <mergeCell ref="D133:T133"/>
    <mergeCell ref="D112:T112"/>
    <mergeCell ref="D116:T116"/>
    <mergeCell ref="D113:T113"/>
    <mergeCell ref="D117:T117"/>
    <mergeCell ref="D118:T118"/>
    <mergeCell ref="X6:BG6"/>
    <mergeCell ref="U1:W1"/>
    <mergeCell ref="U2:W2"/>
    <mergeCell ref="U3:W3"/>
    <mergeCell ref="V5:W5"/>
    <mergeCell ref="U6:W6"/>
    <mergeCell ref="D72:T72"/>
    <mergeCell ref="D51:T51"/>
    <mergeCell ref="D52:T52"/>
    <mergeCell ref="D54:T54"/>
    <mergeCell ref="D55:T55"/>
    <mergeCell ref="D56:T56"/>
    <mergeCell ref="D77:T77"/>
    <mergeCell ref="D46:T46"/>
    <mergeCell ref="D21:T21"/>
  </mergeCells>
  <pageMargins left="0.11811023622047245" right="0.11811023622047245" top="0.15748031496062992" bottom="0.15748031496062992" header="0" footer="0"/>
  <pageSetup paperSize="9" scale="5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D28" zoomScale="95" zoomScaleNormal="95" workbookViewId="0">
      <selection activeCell="K38" sqref="K38"/>
    </sheetView>
  </sheetViews>
  <sheetFormatPr defaultRowHeight="15" x14ac:dyDescent="0.25"/>
  <cols>
    <col min="1" max="1" width="4.28515625" style="6" customWidth="1"/>
    <col min="2" max="2" width="9.140625" style="6"/>
    <col min="3" max="3" width="17.42578125" style="6" customWidth="1"/>
    <col min="4" max="4" width="31.5703125" style="6" customWidth="1"/>
    <col min="5" max="5" width="14.140625" style="6" customWidth="1"/>
    <col min="6" max="6" width="13" style="6" customWidth="1"/>
    <col min="7" max="7" width="13.28515625" style="6" customWidth="1"/>
    <col min="8" max="8" width="20.28515625" style="6" customWidth="1"/>
    <col min="9" max="9" width="6.5703125" style="6" customWidth="1"/>
    <col min="10" max="10" width="7.85546875" style="6" customWidth="1"/>
    <col min="11" max="12" width="12.140625" style="6" customWidth="1"/>
    <col min="13" max="14" width="12.28515625" style="6" customWidth="1"/>
    <col min="15" max="15" width="9.5703125" style="6" customWidth="1"/>
    <col min="16" max="16" width="11.7109375" style="6" customWidth="1"/>
    <col min="17" max="17" width="10" style="6" bestFit="1" customWidth="1"/>
    <col min="18" max="18" width="10" style="6" customWidth="1"/>
    <col min="19" max="19" width="10" style="6" bestFit="1" customWidth="1"/>
    <col min="20" max="20" width="10" style="6" customWidth="1"/>
    <col min="21" max="21" width="12.5703125" style="6" bestFit="1" customWidth="1"/>
    <col min="22" max="22" width="12.5703125" style="6" customWidth="1"/>
    <col min="23" max="24" width="9.140625" style="6"/>
    <col min="25" max="25" width="21.28515625" style="6" hidden="1" customWidth="1"/>
    <col min="26" max="16384" width="9.140625" style="6"/>
  </cols>
  <sheetData>
    <row r="1" spans="1:25" ht="15.75" x14ac:dyDescent="0.25">
      <c r="K1" s="82"/>
      <c r="L1" s="82"/>
      <c r="M1" s="82"/>
      <c r="N1" s="82"/>
      <c r="O1" s="82"/>
      <c r="P1" s="82"/>
      <c r="S1" s="82"/>
      <c r="T1" s="82"/>
      <c r="U1" s="82"/>
      <c r="V1" s="351" t="s">
        <v>120</v>
      </c>
      <c r="W1" s="351"/>
      <c r="X1" s="351"/>
    </row>
    <row r="2" spans="1:25" ht="15.75" x14ac:dyDescent="0.25">
      <c r="K2" s="82"/>
      <c r="L2" s="82"/>
      <c r="M2" s="82"/>
      <c r="N2" s="82"/>
      <c r="O2" s="82"/>
      <c r="P2" s="82"/>
      <c r="S2" s="82"/>
      <c r="T2" s="82"/>
      <c r="U2" s="82"/>
      <c r="V2" s="351" t="s">
        <v>0</v>
      </c>
      <c r="W2" s="351"/>
      <c r="X2" s="351"/>
    </row>
    <row r="3" spans="1:25" ht="15.75" x14ac:dyDescent="0.25">
      <c r="K3" s="82"/>
      <c r="L3" s="82"/>
      <c r="M3" s="82"/>
      <c r="N3" s="82"/>
      <c r="O3" s="82"/>
      <c r="P3" s="82"/>
      <c r="S3" s="82"/>
      <c r="T3" s="82"/>
      <c r="U3" s="82"/>
      <c r="V3" s="351" t="s">
        <v>12</v>
      </c>
      <c r="W3" s="351"/>
      <c r="X3" s="351"/>
    </row>
    <row r="4" spans="1:25" ht="15.75" x14ac:dyDescent="0.25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5" ht="15.75" x14ac:dyDescent="0.25">
      <c r="B5" s="1" t="s">
        <v>49</v>
      </c>
      <c r="C5" s="5"/>
      <c r="D5" s="5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</row>
    <row r="6" spans="1:25" ht="25.5" customHeight="1" x14ac:dyDescent="0.25">
      <c r="B6" s="401" t="s">
        <v>14</v>
      </c>
      <c r="C6" s="416"/>
      <c r="D6" s="416"/>
      <c r="E6" s="416"/>
      <c r="F6" s="416"/>
      <c r="G6" s="416"/>
      <c r="H6" s="416"/>
      <c r="I6" s="416"/>
      <c r="J6" s="402"/>
      <c r="K6" s="401" t="s">
        <v>15</v>
      </c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02"/>
      <c r="Y6" s="197" t="str">
        <f>'4 lentelė'!R6</f>
        <v>Projektų finansavimo sutarčių sudarymas</v>
      </c>
    </row>
    <row r="7" spans="1:25" ht="76.5" customHeight="1" x14ac:dyDescent="0.25">
      <c r="A7" s="7"/>
      <c r="B7" s="403" t="s">
        <v>4</v>
      </c>
      <c r="C7" s="403" t="s">
        <v>114</v>
      </c>
      <c r="D7" s="403" t="s">
        <v>17</v>
      </c>
      <c r="E7" s="405" t="s">
        <v>121</v>
      </c>
      <c r="F7" s="403" t="s">
        <v>18</v>
      </c>
      <c r="G7" s="403" t="s">
        <v>19</v>
      </c>
      <c r="H7" s="403" t="s">
        <v>20</v>
      </c>
      <c r="I7" s="403" t="s">
        <v>44</v>
      </c>
      <c r="J7" s="403" t="s">
        <v>45</v>
      </c>
      <c r="K7" s="401" t="s">
        <v>23</v>
      </c>
      <c r="L7" s="402"/>
      <c r="M7" s="401" t="s">
        <v>24</v>
      </c>
      <c r="N7" s="402"/>
      <c r="O7" s="401" t="s">
        <v>25</v>
      </c>
      <c r="P7" s="402"/>
      <c r="Q7" s="401" t="s">
        <v>26</v>
      </c>
      <c r="R7" s="402"/>
      <c r="S7" s="401" t="s">
        <v>27</v>
      </c>
      <c r="T7" s="402"/>
      <c r="U7" s="401" t="s">
        <v>28</v>
      </c>
      <c r="V7" s="402"/>
      <c r="W7" s="417" t="s">
        <v>122</v>
      </c>
      <c r="X7" s="418"/>
      <c r="Y7" s="197" t="str">
        <f>'4 lentelė'!S7</f>
        <v>Faktiškai įvykdyta (metai, mėnuo)</v>
      </c>
    </row>
    <row r="8" spans="1:25" s="108" customFormat="1" ht="17.25" customHeight="1" x14ac:dyDescent="0.2">
      <c r="B8" s="404"/>
      <c r="C8" s="404"/>
      <c r="D8" s="404"/>
      <c r="E8" s="406"/>
      <c r="F8" s="404"/>
      <c r="G8" s="404"/>
      <c r="H8" s="404"/>
      <c r="I8" s="404"/>
      <c r="J8" s="404"/>
      <c r="K8" s="13" t="s">
        <v>50</v>
      </c>
      <c r="L8" s="13" t="s">
        <v>51</v>
      </c>
      <c r="M8" s="13" t="s">
        <v>50</v>
      </c>
      <c r="N8" s="13" t="s">
        <v>51</v>
      </c>
      <c r="O8" s="13" t="s">
        <v>50</v>
      </c>
      <c r="P8" s="13" t="s">
        <v>51</v>
      </c>
      <c r="Q8" s="13" t="s">
        <v>50</v>
      </c>
      <c r="R8" s="13" t="s">
        <v>51</v>
      </c>
      <c r="S8" s="13" t="s">
        <v>50</v>
      </c>
      <c r="T8" s="13" t="s">
        <v>51</v>
      </c>
      <c r="U8" s="13" t="s">
        <v>50</v>
      </c>
      <c r="V8" s="13" t="s">
        <v>51</v>
      </c>
      <c r="W8" s="13" t="s">
        <v>50</v>
      </c>
      <c r="X8" s="13" t="s">
        <v>51</v>
      </c>
      <c r="Y8" s="16"/>
    </row>
    <row r="9" spans="1:25" ht="15.75" customHeight="1" x14ac:dyDescent="0.25">
      <c r="A9" s="7"/>
      <c r="B9" s="65" t="s">
        <v>32</v>
      </c>
      <c r="C9" s="65"/>
      <c r="D9" s="407" t="s">
        <v>655</v>
      </c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9"/>
      <c r="Y9" s="16"/>
    </row>
    <row r="10" spans="1:25" ht="15" customHeight="1" x14ac:dyDescent="0.25">
      <c r="B10" s="65" t="s">
        <v>33</v>
      </c>
      <c r="C10" s="65"/>
      <c r="D10" s="407" t="s">
        <v>290</v>
      </c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9"/>
      <c r="Y10" s="16"/>
    </row>
    <row r="11" spans="1:25" ht="15" customHeight="1" x14ac:dyDescent="0.25">
      <c r="B11" s="65" t="s">
        <v>6</v>
      </c>
      <c r="C11" s="65"/>
      <c r="D11" s="407" t="s">
        <v>291</v>
      </c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9"/>
      <c r="Y11" s="16"/>
    </row>
    <row r="12" spans="1:25" ht="15" customHeight="1" x14ac:dyDescent="0.25">
      <c r="B12" s="66" t="s">
        <v>35</v>
      </c>
      <c r="C12" s="66"/>
      <c r="D12" s="410" t="s">
        <v>292</v>
      </c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2"/>
      <c r="Y12" s="16"/>
    </row>
    <row r="13" spans="1:25" ht="27.75" customHeight="1" x14ac:dyDescent="0.25">
      <c r="B13" s="41" t="s">
        <v>36</v>
      </c>
      <c r="C13" s="41"/>
      <c r="D13" s="78" t="s">
        <v>293</v>
      </c>
      <c r="E13" s="54" t="s">
        <v>294</v>
      </c>
      <c r="F13" s="55" t="s">
        <v>295</v>
      </c>
      <c r="G13" s="55" t="s">
        <v>296</v>
      </c>
      <c r="H13" s="55" t="s">
        <v>297</v>
      </c>
      <c r="I13" s="55" t="s">
        <v>298</v>
      </c>
      <c r="J13" s="41"/>
      <c r="K13" s="45">
        <f>M13+O13+Q13+S13+U13+W13</f>
        <v>996471.76</v>
      </c>
      <c r="L13" s="45">
        <f>N13+P13+R13+T13+V13+X13</f>
        <v>975848.52</v>
      </c>
      <c r="M13" s="45">
        <v>74735.38</v>
      </c>
      <c r="N13" s="45">
        <v>73188.639999999999</v>
      </c>
      <c r="O13" s="45">
        <v>74735.38</v>
      </c>
      <c r="P13" s="45">
        <v>73188.639999999999</v>
      </c>
      <c r="Q13" s="45"/>
      <c r="R13" s="45"/>
      <c r="S13" s="45"/>
      <c r="T13" s="45"/>
      <c r="U13" s="45">
        <v>847001</v>
      </c>
      <c r="V13" s="45">
        <v>829471.24</v>
      </c>
      <c r="W13" s="67"/>
      <c r="X13" s="118"/>
      <c r="Y13" s="203">
        <f>'4 lentelė'!S12</f>
        <v>43104</v>
      </c>
    </row>
    <row r="14" spans="1:25" ht="27" customHeight="1" x14ac:dyDescent="0.25">
      <c r="B14" s="41" t="s">
        <v>37</v>
      </c>
      <c r="C14" s="41"/>
      <c r="D14" s="43" t="s">
        <v>303</v>
      </c>
      <c r="E14" s="54" t="s">
        <v>304</v>
      </c>
      <c r="F14" s="55" t="s">
        <v>295</v>
      </c>
      <c r="G14" s="55" t="s">
        <v>305</v>
      </c>
      <c r="H14" s="55" t="s">
        <v>297</v>
      </c>
      <c r="I14" s="55" t="s">
        <v>298</v>
      </c>
      <c r="J14" s="41"/>
      <c r="K14" s="45">
        <f>M14+O14+Q14+S14+U14+W14</f>
        <v>870553</v>
      </c>
      <c r="L14" s="45">
        <f>N14+P14+R14+T14+V14+X14</f>
        <v>865441.34</v>
      </c>
      <c r="M14" s="45">
        <v>65292</v>
      </c>
      <c r="N14" s="45">
        <v>64908.11</v>
      </c>
      <c r="O14" s="45">
        <v>65291</v>
      </c>
      <c r="P14" s="45">
        <v>64908.1</v>
      </c>
      <c r="Q14" s="45"/>
      <c r="R14" s="45"/>
      <c r="S14" s="45"/>
      <c r="T14" s="45"/>
      <c r="U14" s="45">
        <v>739970</v>
      </c>
      <c r="V14" s="45">
        <v>735625.13</v>
      </c>
      <c r="W14" s="67"/>
      <c r="X14" s="118"/>
      <c r="Y14" s="203">
        <f>'4 lentelė'!S13</f>
        <v>42870</v>
      </c>
    </row>
    <row r="15" spans="1:25" x14ac:dyDescent="0.25">
      <c r="B15" s="66" t="s">
        <v>38</v>
      </c>
      <c r="C15" s="66"/>
      <c r="D15" s="410" t="s">
        <v>306</v>
      </c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  <c r="Y15" s="203"/>
    </row>
    <row r="16" spans="1:25" ht="24" x14ac:dyDescent="0.25">
      <c r="B16" s="41" t="s">
        <v>39</v>
      </c>
      <c r="C16" s="41"/>
      <c r="D16" s="47" t="s">
        <v>307</v>
      </c>
      <c r="E16" s="53" t="s">
        <v>308</v>
      </c>
      <c r="F16" s="53" t="s">
        <v>295</v>
      </c>
      <c r="G16" s="53" t="s">
        <v>309</v>
      </c>
      <c r="H16" s="53" t="s">
        <v>310</v>
      </c>
      <c r="I16" s="53" t="s">
        <v>298</v>
      </c>
      <c r="J16" s="53" t="s">
        <v>311</v>
      </c>
      <c r="K16" s="45">
        <f>M16+O16+Q16+S16+U16+W16</f>
        <v>511094</v>
      </c>
      <c r="L16" s="45">
        <f>N16+P16+R16+T16+V16+X16</f>
        <v>613921.55000000005</v>
      </c>
      <c r="M16" s="49">
        <v>38332</v>
      </c>
      <c r="N16" s="49">
        <v>128382.2</v>
      </c>
      <c r="O16" s="49">
        <v>38332</v>
      </c>
      <c r="P16" s="116">
        <v>51109.41</v>
      </c>
      <c r="Q16" s="49"/>
      <c r="R16" s="49"/>
      <c r="S16" s="49"/>
      <c r="T16" s="49"/>
      <c r="U16" s="49">
        <v>434430</v>
      </c>
      <c r="V16" s="116">
        <v>434429.94</v>
      </c>
      <c r="W16" s="67"/>
      <c r="X16" s="118"/>
      <c r="Y16" s="203">
        <f>'4 lentelė'!S15</f>
        <v>42837</v>
      </c>
    </row>
    <row r="17" spans="2:25" ht="48" x14ac:dyDescent="0.25">
      <c r="B17" s="41" t="s">
        <v>40</v>
      </c>
      <c r="C17" s="41"/>
      <c r="D17" s="47" t="s">
        <v>315</v>
      </c>
      <c r="E17" s="53" t="s">
        <v>308</v>
      </c>
      <c r="F17" s="53" t="s">
        <v>295</v>
      </c>
      <c r="G17" s="53" t="s">
        <v>309</v>
      </c>
      <c r="H17" s="53" t="s">
        <v>310</v>
      </c>
      <c r="I17" s="53" t="s">
        <v>298</v>
      </c>
      <c r="J17" s="53" t="s">
        <v>311</v>
      </c>
      <c r="K17" s="45">
        <f>M17+O17+Q17+S17+U17+W17</f>
        <v>406458</v>
      </c>
      <c r="L17" s="45">
        <f>N17+P17+R17+T17+V17+X17</f>
        <v>351133</v>
      </c>
      <c r="M17" s="49">
        <v>30485</v>
      </c>
      <c r="N17" s="49">
        <v>17556.650000000001</v>
      </c>
      <c r="O17" s="49">
        <v>30484</v>
      </c>
      <c r="P17" s="117">
        <v>35113.300000000003</v>
      </c>
      <c r="Q17" s="49"/>
      <c r="R17" s="49"/>
      <c r="S17" s="49"/>
      <c r="T17" s="49"/>
      <c r="U17" s="49">
        <v>345489</v>
      </c>
      <c r="V17" s="49">
        <v>298463.05</v>
      </c>
      <c r="W17" s="67"/>
      <c r="X17" s="118"/>
      <c r="Y17" s="203">
        <f>'4 lentelė'!S16</f>
        <v>42815</v>
      </c>
    </row>
    <row r="18" spans="2:25" ht="15" customHeight="1" x14ac:dyDescent="0.25">
      <c r="B18" s="66" t="s">
        <v>316</v>
      </c>
      <c r="C18" s="68"/>
      <c r="D18" s="413" t="s">
        <v>317</v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  <c r="Y18" s="203"/>
    </row>
    <row r="19" spans="2:25" ht="48" x14ac:dyDescent="0.25">
      <c r="B19" s="41" t="s">
        <v>318</v>
      </c>
      <c r="C19" s="41"/>
      <c r="D19" s="43" t="s">
        <v>319</v>
      </c>
      <c r="E19" s="54" t="s">
        <v>304</v>
      </c>
      <c r="F19" s="55" t="s">
        <v>295</v>
      </c>
      <c r="G19" s="55" t="s">
        <v>320</v>
      </c>
      <c r="H19" s="55" t="s">
        <v>321</v>
      </c>
      <c r="I19" s="55" t="s">
        <v>322</v>
      </c>
      <c r="J19" s="55" t="s">
        <v>311</v>
      </c>
      <c r="K19" s="45">
        <f>M19+O19+Q19+S19+U19+W19</f>
        <v>1022250</v>
      </c>
      <c r="L19" s="45">
        <f>N19+P19+R19+T19+V19+X19</f>
        <v>1549336.72</v>
      </c>
      <c r="M19" s="45">
        <v>76682</v>
      </c>
      <c r="N19" s="45">
        <v>603768.72</v>
      </c>
      <c r="O19" s="45">
        <v>76668</v>
      </c>
      <c r="P19" s="45">
        <v>76668</v>
      </c>
      <c r="Q19" s="45"/>
      <c r="R19" s="45"/>
      <c r="S19" s="45"/>
      <c r="T19" s="45"/>
      <c r="U19" s="45">
        <v>868900</v>
      </c>
      <c r="V19" s="45">
        <v>868900</v>
      </c>
      <c r="W19" s="67"/>
      <c r="X19" s="118"/>
      <c r="Y19" s="203">
        <f>'4 lentelė'!S18</f>
        <v>42725</v>
      </c>
    </row>
    <row r="20" spans="2:25" ht="15" customHeight="1" x14ac:dyDescent="0.25">
      <c r="B20" s="66" t="s">
        <v>324</v>
      </c>
      <c r="C20" s="68"/>
      <c r="D20" s="413" t="s">
        <v>325</v>
      </c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  <c r="Y20" s="203"/>
    </row>
    <row r="21" spans="2:25" ht="24" x14ac:dyDescent="0.25">
      <c r="B21" s="41" t="s">
        <v>326</v>
      </c>
      <c r="C21" s="41"/>
      <c r="D21" s="43" t="s">
        <v>327</v>
      </c>
      <c r="E21" s="54" t="s">
        <v>328</v>
      </c>
      <c r="F21" s="55" t="s">
        <v>295</v>
      </c>
      <c r="G21" s="55" t="s">
        <v>329</v>
      </c>
      <c r="H21" s="55" t="s">
        <v>330</v>
      </c>
      <c r="I21" s="55" t="s">
        <v>298</v>
      </c>
      <c r="J21" s="55" t="s">
        <v>311</v>
      </c>
      <c r="K21" s="45">
        <f>M21+O21+Q21+S21+U21+W21</f>
        <v>461773</v>
      </c>
      <c r="L21" s="45">
        <f>N21+P21+R21+T21+V21+X21</f>
        <v>549023.68999999994</v>
      </c>
      <c r="M21" s="45">
        <v>34633</v>
      </c>
      <c r="N21" s="45">
        <v>121883.69</v>
      </c>
      <c r="O21" s="45">
        <v>34633</v>
      </c>
      <c r="P21" s="45">
        <v>34633</v>
      </c>
      <c r="Q21" s="45"/>
      <c r="R21" s="45"/>
      <c r="S21" s="45"/>
      <c r="T21" s="45"/>
      <c r="U21" s="45">
        <v>392507</v>
      </c>
      <c r="V21" s="45">
        <v>392507</v>
      </c>
      <c r="W21" s="67"/>
      <c r="X21" s="118"/>
      <c r="Y21" s="203">
        <f>'4 lentelė'!S20</f>
        <v>42815</v>
      </c>
    </row>
    <row r="22" spans="2:25" ht="15" customHeight="1" x14ac:dyDescent="0.25">
      <c r="B22" s="69" t="s">
        <v>656</v>
      </c>
      <c r="C22" s="70"/>
      <c r="D22" s="379" t="s">
        <v>331</v>
      </c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1"/>
      <c r="Y22" s="203"/>
    </row>
    <row r="23" spans="2:25" ht="15" customHeight="1" x14ac:dyDescent="0.25">
      <c r="B23" s="66" t="s">
        <v>332</v>
      </c>
      <c r="C23" s="68"/>
      <c r="D23" s="413" t="s">
        <v>333</v>
      </c>
      <c r="E23" s="414"/>
      <c r="F23" s="414"/>
      <c r="G23" s="414"/>
      <c r="H23" s="414"/>
      <c r="I23" s="414"/>
      <c r="J23" s="415"/>
      <c r="K23" s="186">
        <v>3321362</v>
      </c>
      <c r="L23" s="186">
        <f>N21+P21+R21+T21+V21+X21</f>
        <v>549023.68999999994</v>
      </c>
      <c r="M23" s="201"/>
      <c r="N23" s="201"/>
      <c r="O23" s="66"/>
      <c r="P23" s="302">
        <v>24227.55</v>
      </c>
      <c r="Q23" s="66"/>
      <c r="R23" s="66"/>
      <c r="S23" s="66"/>
      <c r="T23" s="66"/>
      <c r="U23" s="128"/>
      <c r="V23" s="302">
        <v>137289.45000000001</v>
      </c>
      <c r="W23" s="128"/>
      <c r="X23" s="128"/>
      <c r="Y23" s="203"/>
    </row>
    <row r="24" spans="2:25" x14ac:dyDescent="0.25">
      <c r="B24" s="55" t="s">
        <v>660</v>
      </c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203"/>
    </row>
    <row r="25" spans="2:25" x14ac:dyDescent="0.25">
      <c r="B25" s="69" t="s">
        <v>657</v>
      </c>
      <c r="C25" s="70"/>
      <c r="D25" s="374" t="s">
        <v>335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6"/>
      <c r="Y25" s="203"/>
    </row>
    <row r="26" spans="2:25" x14ac:dyDescent="0.25">
      <c r="B26" s="69" t="s">
        <v>658</v>
      </c>
      <c r="C26" s="70"/>
      <c r="D26" s="374" t="s">
        <v>336</v>
      </c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6"/>
      <c r="Y26" s="203"/>
    </row>
    <row r="27" spans="2:25" x14ac:dyDescent="0.25">
      <c r="B27" s="79" t="s">
        <v>337</v>
      </c>
      <c r="C27" s="68"/>
      <c r="D27" s="365" t="s">
        <v>338</v>
      </c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7"/>
      <c r="Y27" s="203"/>
    </row>
    <row r="28" spans="2:25" ht="24" x14ac:dyDescent="0.25">
      <c r="B28" s="59" t="s">
        <v>339</v>
      </c>
      <c r="C28" s="41"/>
      <c r="D28" s="110" t="s">
        <v>340</v>
      </c>
      <c r="E28" s="54" t="s">
        <v>294</v>
      </c>
      <c r="F28" s="55" t="s">
        <v>341</v>
      </c>
      <c r="G28" s="55" t="s">
        <v>342</v>
      </c>
      <c r="H28" s="55" t="s">
        <v>343</v>
      </c>
      <c r="I28" s="55" t="s">
        <v>298</v>
      </c>
      <c r="J28" s="55"/>
      <c r="K28" s="45">
        <f t="shared" ref="K28:L32" si="0">M28+O28+Q28+S28+U28+W28</f>
        <v>822057.65</v>
      </c>
      <c r="L28" s="45">
        <f t="shared" si="0"/>
        <v>799037.74</v>
      </c>
      <c r="M28" s="45">
        <v>123308.65</v>
      </c>
      <c r="N28" s="45">
        <v>119855.67</v>
      </c>
      <c r="O28" s="45"/>
      <c r="P28" s="45"/>
      <c r="Q28" s="45"/>
      <c r="R28" s="45"/>
      <c r="S28" s="45"/>
      <c r="T28" s="45"/>
      <c r="U28" s="45">
        <v>698749</v>
      </c>
      <c r="V28" s="45">
        <v>679182.07</v>
      </c>
      <c r="W28" s="67"/>
      <c r="X28" s="118"/>
      <c r="Y28" s="203">
        <f>'4 lentelė'!S27</f>
        <v>42993</v>
      </c>
    </row>
    <row r="29" spans="2:25" ht="24" x14ac:dyDescent="0.25">
      <c r="B29" s="59" t="s">
        <v>347</v>
      </c>
      <c r="C29" s="41"/>
      <c r="D29" s="111" t="s">
        <v>348</v>
      </c>
      <c r="E29" s="54" t="s">
        <v>308</v>
      </c>
      <c r="F29" s="55" t="s">
        <v>341</v>
      </c>
      <c r="G29" s="55" t="s">
        <v>349</v>
      </c>
      <c r="H29" s="55" t="s">
        <v>343</v>
      </c>
      <c r="I29" s="55" t="s">
        <v>298</v>
      </c>
      <c r="J29" s="55" t="s">
        <v>311</v>
      </c>
      <c r="K29" s="45">
        <f t="shared" si="0"/>
        <v>336192.2</v>
      </c>
      <c r="L29" s="45">
        <f t="shared" si="0"/>
        <v>267846.2</v>
      </c>
      <c r="M29" s="45">
        <v>43873.7</v>
      </c>
      <c r="N29" s="45">
        <v>20088.47</v>
      </c>
      <c r="O29" s="45"/>
      <c r="P29" s="45"/>
      <c r="Q29" s="45"/>
      <c r="R29" s="45"/>
      <c r="S29" s="45">
        <v>23701.5</v>
      </c>
      <c r="T29" s="45">
        <v>20088.46</v>
      </c>
      <c r="U29" s="45">
        <v>268617</v>
      </c>
      <c r="V29" s="45">
        <v>227669.27</v>
      </c>
      <c r="W29" s="67"/>
      <c r="X29" s="118"/>
      <c r="Y29" s="203">
        <f>'4 lentelė'!S28</f>
        <v>43133</v>
      </c>
    </row>
    <row r="30" spans="2:25" ht="24" x14ac:dyDescent="0.25">
      <c r="B30" s="59" t="s">
        <v>354</v>
      </c>
      <c r="C30" s="41"/>
      <c r="D30" s="110" t="s">
        <v>355</v>
      </c>
      <c r="E30" s="54" t="s">
        <v>328</v>
      </c>
      <c r="F30" s="55" t="s">
        <v>341</v>
      </c>
      <c r="G30" s="55" t="s">
        <v>356</v>
      </c>
      <c r="H30" s="55" t="s">
        <v>343</v>
      </c>
      <c r="I30" s="55" t="s">
        <v>298</v>
      </c>
      <c r="J30" s="55" t="s">
        <v>311</v>
      </c>
      <c r="K30" s="45">
        <f t="shared" si="0"/>
        <v>794019</v>
      </c>
      <c r="L30" s="45">
        <f t="shared" si="0"/>
        <v>510164.55</v>
      </c>
      <c r="M30" s="45">
        <v>59552</v>
      </c>
      <c r="N30" s="45">
        <v>38262.339999999997</v>
      </c>
      <c r="O30" s="45"/>
      <c r="P30" s="45"/>
      <c r="Q30" s="45"/>
      <c r="R30" s="45"/>
      <c r="S30" s="45">
        <v>59551</v>
      </c>
      <c r="T30" s="45">
        <v>38262.339999999997</v>
      </c>
      <c r="U30" s="45">
        <v>674916</v>
      </c>
      <c r="V30" s="45">
        <v>433639.87</v>
      </c>
      <c r="W30" s="67"/>
      <c r="X30" s="118"/>
      <c r="Y30" s="203">
        <f>'4 lentelė'!S29</f>
        <v>43021</v>
      </c>
    </row>
    <row r="31" spans="2:25" ht="24" x14ac:dyDescent="0.25">
      <c r="B31" s="59" t="s">
        <v>357</v>
      </c>
      <c r="C31" s="41"/>
      <c r="D31" s="111" t="s">
        <v>358</v>
      </c>
      <c r="E31" s="54" t="s">
        <v>328</v>
      </c>
      <c r="F31" s="55" t="s">
        <v>341</v>
      </c>
      <c r="G31" s="55" t="s">
        <v>356</v>
      </c>
      <c r="H31" s="55" t="s">
        <v>343</v>
      </c>
      <c r="I31" s="55" t="s">
        <v>298</v>
      </c>
      <c r="J31" s="55" t="s">
        <v>311</v>
      </c>
      <c r="K31" s="45">
        <f t="shared" si="0"/>
        <v>194118</v>
      </c>
      <c r="L31" s="45">
        <f t="shared" si="0"/>
        <v>0</v>
      </c>
      <c r="M31" s="45">
        <v>64860</v>
      </c>
      <c r="N31" s="45"/>
      <c r="O31" s="45"/>
      <c r="P31" s="45"/>
      <c r="Q31" s="45"/>
      <c r="R31" s="45"/>
      <c r="S31" s="45">
        <v>14558</v>
      </c>
      <c r="T31" s="45"/>
      <c r="U31" s="45">
        <v>114700</v>
      </c>
      <c r="V31" s="45"/>
      <c r="W31" s="67"/>
      <c r="X31" s="118"/>
      <c r="Y31" s="203">
        <f>'4 lentelė'!S30</f>
        <v>0</v>
      </c>
    </row>
    <row r="32" spans="2:25" ht="24" x14ac:dyDescent="0.25">
      <c r="B32" s="59" t="s">
        <v>359</v>
      </c>
      <c r="C32" s="41"/>
      <c r="D32" s="110" t="s">
        <v>360</v>
      </c>
      <c r="E32" s="54" t="s">
        <v>304</v>
      </c>
      <c r="F32" s="55" t="s">
        <v>341</v>
      </c>
      <c r="G32" s="55" t="s">
        <v>320</v>
      </c>
      <c r="H32" s="55" t="s">
        <v>343</v>
      </c>
      <c r="I32" s="55" t="s">
        <v>298</v>
      </c>
      <c r="J32" s="55" t="s">
        <v>311</v>
      </c>
      <c r="K32" s="45">
        <f t="shared" si="0"/>
        <v>1866751.15</v>
      </c>
      <c r="L32" s="45">
        <f t="shared" si="0"/>
        <v>1284188.24</v>
      </c>
      <c r="M32" s="45">
        <v>678877.04</v>
      </c>
      <c r="N32" s="45">
        <v>192628.24</v>
      </c>
      <c r="O32" s="45"/>
      <c r="P32" s="45"/>
      <c r="Q32" s="45"/>
      <c r="R32" s="45"/>
      <c r="S32" s="45">
        <v>96314.11</v>
      </c>
      <c r="T32" s="45">
        <v>0</v>
      </c>
      <c r="U32" s="45">
        <v>1091560</v>
      </c>
      <c r="V32" s="45">
        <v>1091560</v>
      </c>
      <c r="W32" s="67"/>
      <c r="X32" s="118"/>
      <c r="Y32" s="203">
        <f>'4 lentelė'!S31</f>
        <v>42921</v>
      </c>
    </row>
    <row r="33" spans="2:25" ht="15" customHeight="1" x14ac:dyDescent="0.25">
      <c r="B33" s="79" t="s">
        <v>361</v>
      </c>
      <c r="C33" s="68"/>
      <c r="D33" s="413" t="s">
        <v>362</v>
      </c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  <c r="Y33" s="203"/>
    </row>
    <row r="34" spans="2:25" ht="24" x14ac:dyDescent="0.25">
      <c r="B34" s="59" t="s">
        <v>363</v>
      </c>
      <c r="C34" s="41"/>
      <c r="D34" s="43" t="s">
        <v>364</v>
      </c>
      <c r="E34" s="54" t="s">
        <v>304</v>
      </c>
      <c r="F34" s="55" t="s">
        <v>341</v>
      </c>
      <c r="G34" s="55" t="s">
        <v>320</v>
      </c>
      <c r="H34" s="55" t="s">
        <v>365</v>
      </c>
      <c r="I34" s="55" t="s">
        <v>298</v>
      </c>
      <c r="J34" s="55" t="s">
        <v>311</v>
      </c>
      <c r="K34" s="45">
        <f>M34+O34+Q34+S34+U34+W34</f>
        <v>1277647</v>
      </c>
      <c r="L34" s="45">
        <f>N34+P34+R34+T34+V34+X34</f>
        <v>0</v>
      </c>
      <c r="M34" s="45">
        <v>191647</v>
      </c>
      <c r="N34" s="45"/>
      <c r="O34" s="45"/>
      <c r="P34" s="45"/>
      <c r="Q34" s="45"/>
      <c r="R34" s="45"/>
      <c r="S34" s="45"/>
      <c r="T34" s="45"/>
      <c r="U34" s="45">
        <v>1086000</v>
      </c>
      <c r="V34" s="45"/>
      <c r="W34" s="67"/>
      <c r="X34" s="67"/>
      <c r="Y34" s="203">
        <f>'4 lentelė'!S33</f>
        <v>0</v>
      </c>
    </row>
    <row r="35" spans="2:25" ht="24" x14ac:dyDescent="0.25">
      <c r="B35" s="59" t="s">
        <v>369</v>
      </c>
      <c r="C35" s="41"/>
      <c r="D35" s="43" t="s">
        <v>370</v>
      </c>
      <c r="E35" s="54" t="s">
        <v>304</v>
      </c>
      <c r="F35" s="55" t="s">
        <v>341</v>
      </c>
      <c r="G35" s="55" t="s">
        <v>320</v>
      </c>
      <c r="H35" s="55" t="s">
        <v>371</v>
      </c>
      <c r="I35" s="55" t="s">
        <v>322</v>
      </c>
      <c r="J35" s="55" t="s">
        <v>311</v>
      </c>
      <c r="K35" s="45">
        <f>M35+O35+Q35+S35+U35+W35</f>
        <v>11900</v>
      </c>
      <c r="L35" s="45">
        <f>N35+P35+R35+T35+V35+X35</f>
        <v>11900</v>
      </c>
      <c r="M35" s="45">
        <v>1785</v>
      </c>
      <c r="N35" s="45">
        <v>1785</v>
      </c>
      <c r="O35" s="45"/>
      <c r="P35" s="45"/>
      <c r="Q35" s="45"/>
      <c r="R35" s="45"/>
      <c r="S35" s="45"/>
      <c r="T35" s="45"/>
      <c r="U35" s="45">
        <v>10115</v>
      </c>
      <c r="V35" s="45">
        <v>10115</v>
      </c>
      <c r="W35" s="67"/>
      <c r="X35" s="67"/>
      <c r="Y35" s="203">
        <f>'4 lentelė'!S34</f>
        <v>42759</v>
      </c>
    </row>
    <row r="36" spans="2:25" ht="15" customHeight="1" x14ac:dyDescent="0.25">
      <c r="B36" s="79" t="s">
        <v>374</v>
      </c>
      <c r="C36" s="66"/>
      <c r="D36" s="413" t="s">
        <v>375</v>
      </c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5"/>
      <c r="Y36" s="203"/>
    </row>
    <row r="37" spans="2:25" ht="24" x14ac:dyDescent="0.25">
      <c r="B37" s="59" t="s">
        <v>376</v>
      </c>
      <c r="C37" s="41"/>
      <c r="D37" s="43" t="s">
        <v>377</v>
      </c>
      <c r="E37" s="54" t="s">
        <v>294</v>
      </c>
      <c r="F37" s="55" t="s">
        <v>341</v>
      </c>
      <c r="G37" s="55" t="s">
        <v>378</v>
      </c>
      <c r="H37" s="55" t="s">
        <v>379</v>
      </c>
      <c r="I37" s="55" t="s">
        <v>298</v>
      </c>
      <c r="J37" s="55"/>
      <c r="K37" s="45">
        <f>M37+O37+Q37+S37+U37+W37</f>
        <v>83796.47</v>
      </c>
      <c r="L37" s="45">
        <f>N37+P37+R37+T37+V37+X37</f>
        <v>83796.47</v>
      </c>
      <c r="M37" s="45">
        <v>12569.47</v>
      </c>
      <c r="N37" s="45">
        <v>12569.47</v>
      </c>
      <c r="O37" s="45"/>
      <c r="P37" s="45"/>
      <c r="Q37" s="45"/>
      <c r="R37" s="45"/>
      <c r="S37" s="45"/>
      <c r="T37" s="45"/>
      <c r="U37" s="45">
        <v>71227</v>
      </c>
      <c r="V37" s="45">
        <v>71227</v>
      </c>
      <c r="W37" s="67"/>
      <c r="X37" s="67"/>
      <c r="Y37" s="203">
        <f>'4 lentelė'!S36</f>
        <v>43185</v>
      </c>
    </row>
    <row r="38" spans="2:25" ht="24" x14ac:dyDescent="0.25">
      <c r="B38" s="59" t="s">
        <v>382</v>
      </c>
      <c r="C38" s="41"/>
      <c r="D38" s="43" t="s">
        <v>383</v>
      </c>
      <c r="E38" s="54" t="s">
        <v>308</v>
      </c>
      <c r="F38" s="55" t="s">
        <v>341</v>
      </c>
      <c r="G38" s="55" t="s">
        <v>349</v>
      </c>
      <c r="H38" s="55" t="s">
        <v>379</v>
      </c>
      <c r="I38" s="55" t="s">
        <v>298</v>
      </c>
      <c r="J38" s="55" t="s">
        <v>311</v>
      </c>
      <c r="K38" s="49">
        <f>M38+O38+Q38+S38+U38+W38</f>
        <v>34280.82</v>
      </c>
      <c r="L38" s="45">
        <f t="shared" ref="L38:L42" si="1">N38+P38+R38+T38+V38+X38</f>
        <v>69389.47</v>
      </c>
      <c r="M38" s="45">
        <v>6898.82</v>
      </c>
      <c r="N38" s="45">
        <v>42007.47</v>
      </c>
      <c r="O38" s="45"/>
      <c r="P38" s="45"/>
      <c r="Q38" s="45"/>
      <c r="R38" s="45"/>
      <c r="S38" s="45"/>
      <c r="T38" s="45"/>
      <c r="U38" s="45">
        <v>27382</v>
      </c>
      <c r="V38" s="45">
        <v>27382</v>
      </c>
      <c r="W38" s="67"/>
      <c r="X38" s="67"/>
      <c r="Y38" s="203">
        <f>'4 lentelė'!S37</f>
        <v>43124</v>
      </c>
    </row>
    <row r="39" spans="2:25" ht="24" x14ac:dyDescent="0.25">
      <c r="B39" s="59" t="s">
        <v>386</v>
      </c>
      <c r="C39" s="41"/>
      <c r="D39" s="43" t="s">
        <v>387</v>
      </c>
      <c r="E39" s="54" t="s">
        <v>328</v>
      </c>
      <c r="F39" s="55" t="s">
        <v>341</v>
      </c>
      <c r="G39" s="55" t="s">
        <v>356</v>
      </c>
      <c r="H39" s="55" t="s">
        <v>379</v>
      </c>
      <c r="I39" s="55" t="s">
        <v>298</v>
      </c>
      <c r="J39" s="55" t="s">
        <v>311</v>
      </c>
      <c r="K39" s="45">
        <f>M39+O39+Q39+S39+U39+W39</f>
        <v>100770</v>
      </c>
      <c r="L39" s="45">
        <f t="shared" si="1"/>
        <v>0</v>
      </c>
      <c r="M39" s="45">
        <v>20280</v>
      </c>
      <c r="N39" s="45"/>
      <c r="O39" s="45"/>
      <c r="P39" s="45"/>
      <c r="Q39" s="45"/>
      <c r="R39" s="45"/>
      <c r="S39" s="45"/>
      <c r="T39" s="45"/>
      <c r="U39" s="45">
        <v>80490</v>
      </c>
      <c r="V39" s="45"/>
      <c r="W39" s="67"/>
      <c r="X39" s="67"/>
      <c r="Y39" s="203">
        <f>'4 lentelė'!S38</f>
        <v>0</v>
      </c>
    </row>
    <row r="40" spans="2:25" ht="24" x14ac:dyDescent="0.25">
      <c r="B40" s="59" t="s">
        <v>388</v>
      </c>
      <c r="C40" s="41"/>
      <c r="D40" s="111" t="s">
        <v>389</v>
      </c>
      <c r="E40" s="54" t="s">
        <v>304</v>
      </c>
      <c r="F40" s="55" t="s">
        <v>341</v>
      </c>
      <c r="G40" s="55" t="s">
        <v>390</v>
      </c>
      <c r="H40" s="55" t="s">
        <v>379</v>
      </c>
      <c r="I40" s="55" t="s">
        <v>298</v>
      </c>
      <c r="J40" s="55"/>
      <c r="K40" s="45">
        <f>M40+O40+Q40+S40+U40+W40</f>
        <v>139304.47</v>
      </c>
      <c r="L40" s="45">
        <f t="shared" si="1"/>
        <v>142676.60999999999</v>
      </c>
      <c r="M40" s="45">
        <v>28035.47</v>
      </c>
      <c r="N40" s="45">
        <v>31407.61</v>
      </c>
      <c r="O40" s="45"/>
      <c r="P40" s="45"/>
      <c r="Q40" s="45"/>
      <c r="R40" s="45"/>
      <c r="S40" s="45"/>
      <c r="T40" s="45"/>
      <c r="U40" s="45">
        <v>111269</v>
      </c>
      <c r="V40" s="45">
        <v>111269</v>
      </c>
      <c r="W40" s="67"/>
      <c r="X40" s="118"/>
      <c r="Y40" s="203">
        <f>'4 lentelė'!S39</f>
        <v>42921</v>
      </c>
    </row>
    <row r="41" spans="2:25" ht="15" customHeight="1" x14ac:dyDescent="0.25">
      <c r="B41" s="71" t="s">
        <v>391</v>
      </c>
      <c r="C41" s="68"/>
      <c r="D41" s="382" t="s">
        <v>392</v>
      </c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4"/>
      <c r="Y41" s="203"/>
    </row>
    <row r="42" spans="2:25" ht="24" x14ac:dyDescent="0.25">
      <c r="B42" s="59" t="s">
        <v>393</v>
      </c>
      <c r="C42" s="41"/>
      <c r="D42" s="43" t="s">
        <v>394</v>
      </c>
      <c r="E42" s="54" t="s">
        <v>304</v>
      </c>
      <c r="F42" s="55" t="s">
        <v>341</v>
      </c>
      <c r="G42" s="55" t="s">
        <v>320</v>
      </c>
      <c r="H42" s="55" t="s">
        <v>395</v>
      </c>
      <c r="I42" s="55" t="s">
        <v>298</v>
      </c>
      <c r="J42" s="55" t="s">
        <v>311</v>
      </c>
      <c r="K42" s="45">
        <f>M42+O42+Q42+S42+U42+W42</f>
        <v>798964</v>
      </c>
      <c r="L42" s="45">
        <f t="shared" si="1"/>
        <v>798964</v>
      </c>
      <c r="M42" s="45">
        <v>119845</v>
      </c>
      <c r="N42" s="45">
        <v>119845</v>
      </c>
      <c r="O42" s="45"/>
      <c r="P42" s="45"/>
      <c r="Q42" s="45"/>
      <c r="R42" s="45"/>
      <c r="S42" s="45"/>
      <c r="T42" s="45"/>
      <c r="U42" s="45">
        <v>679119</v>
      </c>
      <c r="V42" s="45">
        <v>679119</v>
      </c>
      <c r="W42" s="67"/>
      <c r="X42" s="67"/>
      <c r="Y42" s="203">
        <f>'4 lentelė'!S41</f>
        <v>43236</v>
      </c>
    </row>
    <row r="43" spans="2:25" x14ac:dyDescent="0.25">
      <c r="B43" s="69" t="s">
        <v>662</v>
      </c>
      <c r="C43" s="70"/>
      <c r="D43" s="374" t="s">
        <v>398</v>
      </c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6"/>
      <c r="Y43" s="203"/>
    </row>
    <row r="44" spans="2:25" x14ac:dyDescent="0.25">
      <c r="B44" s="79" t="s">
        <v>399</v>
      </c>
      <c r="C44" s="68"/>
      <c r="D44" s="365" t="s">
        <v>400</v>
      </c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7"/>
      <c r="Y44" s="203"/>
    </row>
    <row r="45" spans="2:25" x14ac:dyDescent="0.25">
      <c r="B45" s="59" t="s">
        <v>401</v>
      </c>
      <c r="C45" s="41"/>
      <c r="D45" s="112" t="s">
        <v>402</v>
      </c>
      <c r="E45" s="55" t="s">
        <v>304</v>
      </c>
      <c r="F45" s="55" t="s">
        <v>403</v>
      </c>
      <c r="G45" s="55" t="s">
        <v>320</v>
      </c>
      <c r="H45" s="54" t="s">
        <v>404</v>
      </c>
      <c r="I45" s="55" t="s">
        <v>298</v>
      </c>
      <c r="J45" s="55" t="s">
        <v>311</v>
      </c>
      <c r="K45" s="45">
        <f>M45+O45+Q45+S45+U45+W45</f>
        <v>588358</v>
      </c>
      <c r="L45" s="45">
        <f t="shared" ref="L45:L46" si="2">N45+P45+R45+T45+V45+X45</f>
        <v>728508.61</v>
      </c>
      <c r="M45" s="45">
        <v>88253.84</v>
      </c>
      <c r="N45" s="45">
        <v>228404.45</v>
      </c>
      <c r="O45" s="45"/>
      <c r="P45" s="45"/>
      <c r="Q45" s="45"/>
      <c r="R45" s="45"/>
      <c r="S45" s="45"/>
      <c r="T45" s="45"/>
      <c r="U45" s="45">
        <v>500104.16</v>
      </c>
      <c r="V45" s="45">
        <v>500104.16</v>
      </c>
      <c r="W45" s="67"/>
      <c r="X45" s="118"/>
      <c r="Y45" s="203">
        <f>'4 lentelė'!S44</f>
        <v>42835</v>
      </c>
    </row>
    <row r="46" spans="2:25" x14ac:dyDescent="0.25">
      <c r="B46" s="59" t="s">
        <v>407</v>
      </c>
      <c r="C46" s="41"/>
      <c r="D46" s="113" t="s">
        <v>408</v>
      </c>
      <c r="E46" s="53" t="s">
        <v>328</v>
      </c>
      <c r="F46" s="53" t="s">
        <v>403</v>
      </c>
      <c r="G46" s="53" t="s">
        <v>356</v>
      </c>
      <c r="H46" s="53" t="s">
        <v>404</v>
      </c>
      <c r="I46" s="53" t="s">
        <v>298</v>
      </c>
      <c r="J46" s="53" t="s">
        <v>311</v>
      </c>
      <c r="K46" s="45">
        <f>M46+O46+Q46+S46+U46+W46</f>
        <v>515526.52</v>
      </c>
      <c r="L46" s="45">
        <f t="shared" si="2"/>
        <v>515526.52</v>
      </c>
      <c r="M46" s="49">
        <v>97732.29</v>
      </c>
      <c r="N46" s="49">
        <v>97732.29</v>
      </c>
      <c r="O46" s="49"/>
      <c r="P46" s="49"/>
      <c r="Q46" s="49"/>
      <c r="R46" s="49"/>
      <c r="S46" s="49">
        <v>226000</v>
      </c>
      <c r="T46" s="49">
        <v>226000</v>
      </c>
      <c r="U46" s="49">
        <v>191794.23</v>
      </c>
      <c r="V46" s="49">
        <v>191794.23</v>
      </c>
      <c r="W46" s="67"/>
      <c r="X46" s="118"/>
      <c r="Y46" s="203">
        <f>'4 lentelė'!S45</f>
        <v>42809</v>
      </c>
    </row>
    <row r="47" spans="2:25" x14ac:dyDescent="0.25">
      <c r="B47" s="79" t="s">
        <v>409</v>
      </c>
      <c r="C47" s="68"/>
      <c r="D47" s="365" t="s">
        <v>410</v>
      </c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7"/>
      <c r="Y47" s="203">
        <f>'4 lentelė'!S46</f>
        <v>0</v>
      </c>
    </row>
    <row r="48" spans="2:25" ht="72" x14ac:dyDescent="0.25">
      <c r="B48" s="59" t="s">
        <v>411</v>
      </c>
      <c r="C48" s="41"/>
      <c r="D48" s="113" t="s">
        <v>412</v>
      </c>
      <c r="E48" s="54" t="s">
        <v>304</v>
      </c>
      <c r="F48" s="54" t="s">
        <v>403</v>
      </c>
      <c r="G48" s="54" t="s">
        <v>320</v>
      </c>
      <c r="H48" s="55" t="s">
        <v>413</v>
      </c>
      <c r="I48" s="54" t="s">
        <v>298</v>
      </c>
      <c r="J48" s="54" t="s">
        <v>311</v>
      </c>
      <c r="K48" s="45">
        <f>M48+O48+Q48+S48+U48+W48</f>
        <v>464475</v>
      </c>
      <c r="L48" s="45">
        <f t="shared" ref="L48:L50" si="3">N48+P48+R48+T48+V48+X48</f>
        <v>518106.26</v>
      </c>
      <c r="M48" s="60">
        <v>69671</v>
      </c>
      <c r="N48" s="60">
        <v>123302.26</v>
      </c>
      <c r="O48" s="60"/>
      <c r="P48" s="60"/>
      <c r="Q48" s="60"/>
      <c r="R48" s="60"/>
      <c r="S48" s="60"/>
      <c r="T48" s="60"/>
      <c r="U48" s="60">
        <v>394804</v>
      </c>
      <c r="V48" s="60">
        <v>394804</v>
      </c>
      <c r="W48" s="67"/>
      <c r="X48" s="118"/>
      <c r="Y48" s="203">
        <f>'4 lentelė'!S47</f>
        <v>42908</v>
      </c>
    </row>
    <row r="49" spans="2:25" ht="36" x14ac:dyDescent="0.25">
      <c r="B49" s="59" t="s">
        <v>418</v>
      </c>
      <c r="C49" s="41"/>
      <c r="D49" s="114" t="s">
        <v>419</v>
      </c>
      <c r="E49" s="55" t="s">
        <v>294</v>
      </c>
      <c r="F49" s="55" t="s">
        <v>403</v>
      </c>
      <c r="G49" s="55" t="s">
        <v>420</v>
      </c>
      <c r="H49" s="55" t="s">
        <v>413</v>
      </c>
      <c r="I49" s="55" t="s">
        <v>298</v>
      </c>
      <c r="J49" s="55"/>
      <c r="K49" s="45">
        <f>M49+O49+Q49+S49+U49+W49</f>
        <v>297327.13</v>
      </c>
      <c r="L49" s="45">
        <f t="shared" si="3"/>
        <v>241370.59</v>
      </c>
      <c r="M49" s="45">
        <v>44599.07</v>
      </c>
      <c r="N49" s="45">
        <v>36205.589999999997</v>
      </c>
      <c r="O49" s="45"/>
      <c r="P49" s="45"/>
      <c r="Q49" s="45"/>
      <c r="R49" s="45"/>
      <c r="S49" s="45"/>
      <c r="T49" s="45"/>
      <c r="U49" s="45">
        <v>252728.06</v>
      </c>
      <c r="V49" s="45">
        <v>205165</v>
      </c>
      <c r="W49" s="67"/>
      <c r="X49" s="118"/>
      <c r="Y49" s="203">
        <f>'4 lentelė'!S48</f>
        <v>43006</v>
      </c>
    </row>
    <row r="50" spans="2:25" ht="48" x14ac:dyDescent="0.25">
      <c r="B50" s="59" t="s">
        <v>421</v>
      </c>
      <c r="C50" s="41"/>
      <c r="D50" s="114" t="s">
        <v>422</v>
      </c>
      <c r="E50" s="55" t="s">
        <v>308</v>
      </c>
      <c r="F50" s="55" t="s">
        <v>403</v>
      </c>
      <c r="G50" s="55" t="s">
        <v>309</v>
      </c>
      <c r="H50" s="55" t="s">
        <v>413</v>
      </c>
      <c r="I50" s="55" t="s">
        <v>298</v>
      </c>
      <c r="J50" s="55" t="s">
        <v>311</v>
      </c>
      <c r="K50" s="45">
        <f>M50+O50+Q50+S50+U50+W50</f>
        <v>114301</v>
      </c>
      <c r="L50" s="45">
        <f t="shared" si="3"/>
        <v>129468.93</v>
      </c>
      <c r="M50" s="45">
        <v>17146</v>
      </c>
      <c r="N50" s="45">
        <v>32313.93</v>
      </c>
      <c r="O50" s="45"/>
      <c r="P50" s="45"/>
      <c r="Q50" s="45"/>
      <c r="R50" s="45"/>
      <c r="S50" s="45"/>
      <c r="T50" s="45"/>
      <c r="U50" s="45">
        <v>97155</v>
      </c>
      <c r="V50" s="45">
        <v>97155</v>
      </c>
      <c r="W50" s="67"/>
      <c r="X50" s="118"/>
      <c r="Y50" s="203">
        <f>'4 lentelė'!S49</f>
        <v>42967</v>
      </c>
    </row>
    <row r="51" spans="2:25" ht="24" x14ac:dyDescent="0.25">
      <c r="B51" s="59" t="s">
        <v>424</v>
      </c>
      <c r="C51" s="41"/>
      <c r="D51" s="51" t="s">
        <v>425</v>
      </c>
      <c r="E51" s="55" t="s">
        <v>328</v>
      </c>
      <c r="F51" s="55" t="s">
        <v>403</v>
      </c>
      <c r="G51" s="55" t="s">
        <v>426</v>
      </c>
      <c r="H51" s="55" t="s">
        <v>413</v>
      </c>
      <c r="I51" s="55" t="s">
        <v>298</v>
      </c>
      <c r="J51" s="55"/>
      <c r="K51" s="45">
        <f>M51+O51+Q51+S51+U51+W51</f>
        <v>335993</v>
      </c>
      <c r="L51" s="45">
        <v>357846.76</v>
      </c>
      <c r="M51" s="45">
        <v>50398.95</v>
      </c>
      <c r="N51" s="45">
        <v>72252.710000000006</v>
      </c>
      <c r="O51" s="45"/>
      <c r="P51" s="45"/>
      <c r="Q51" s="45"/>
      <c r="R51" s="45"/>
      <c r="S51" s="45"/>
      <c r="T51" s="45"/>
      <c r="U51" s="49">
        <v>285594.05</v>
      </c>
      <c r="V51" s="49">
        <v>285594.05</v>
      </c>
      <c r="W51" s="67"/>
      <c r="X51" s="67"/>
      <c r="Y51" s="203">
        <f>'4 lentelė'!S50</f>
        <v>43305</v>
      </c>
    </row>
    <row r="52" spans="2:25" x14ac:dyDescent="0.25">
      <c r="B52" s="69" t="s">
        <v>663</v>
      </c>
      <c r="C52" s="70"/>
      <c r="D52" s="374" t="s">
        <v>427</v>
      </c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6"/>
      <c r="Y52" s="203"/>
    </row>
    <row r="53" spans="2:25" x14ac:dyDescent="0.25">
      <c r="B53" s="79" t="s">
        <v>428</v>
      </c>
      <c r="C53" s="68"/>
      <c r="D53" s="365" t="s">
        <v>429</v>
      </c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7"/>
      <c r="Y53" s="203"/>
    </row>
    <row r="54" spans="2:25" ht="36" x14ac:dyDescent="0.25">
      <c r="B54" s="59" t="s">
        <v>430</v>
      </c>
      <c r="C54" s="41"/>
      <c r="D54" s="115" t="s">
        <v>431</v>
      </c>
      <c r="E54" s="54" t="s">
        <v>328</v>
      </c>
      <c r="F54" s="54" t="s">
        <v>432</v>
      </c>
      <c r="G54" s="54" t="s">
        <v>433</v>
      </c>
      <c r="H54" s="54" t="s">
        <v>434</v>
      </c>
      <c r="I54" s="54" t="s">
        <v>298</v>
      </c>
      <c r="J54" s="56"/>
      <c r="K54" s="45">
        <f>M54+O54+Q54+S54+U54+W54</f>
        <v>466925.52</v>
      </c>
      <c r="L54" s="45">
        <f t="shared" ref="L54" si="4">N54+P54+R54+T54+V54+X54</f>
        <v>465062.52</v>
      </c>
      <c r="M54" s="60">
        <v>70038.83</v>
      </c>
      <c r="N54" s="60">
        <v>69759.38</v>
      </c>
      <c r="O54" s="45"/>
      <c r="P54" s="45"/>
      <c r="Q54" s="45"/>
      <c r="R54" s="45"/>
      <c r="S54" s="45"/>
      <c r="T54" s="45"/>
      <c r="U54" s="60">
        <v>396886.69</v>
      </c>
      <c r="V54" s="60">
        <v>395303.14</v>
      </c>
      <c r="W54" s="67"/>
      <c r="X54" s="118"/>
      <c r="Y54" s="203">
        <f>'4 lentelė'!S53</f>
        <v>42930</v>
      </c>
    </row>
    <row r="55" spans="2:25" ht="15" customHeight="1" x14ac:dyDescent="0.25">
      <c r="B55" s="69" t="s">
        <v>664</v>
      </c>
      <c r="C55" s="70"/>
      <c r="D55" s="407" t="s">
        <v>659</v>
      </c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9"/>
      <c r="Y55" s="203"/>
    </row>
    <row r="56" spans="2:25" ht="15" customHeight="1" x14ac:dyDescent="0.25">
      <c r="B56" s="69" t="s">
        <v>665</v>
      </c>
      <c r="C56" s="70"/>
      <c r="D56" s="407" t="s">
        <v>437</v>
      </c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9"/>
      <c r="Y56" s="203"/>
    </row>
    <row r="57" spans="2:25" ht="15" customHeight="1" x14ac:dyDescent="0.25">
      <c r="B57" s="69" t="s">
        <v>666</v>
      </c>
      <c r="C57" s="70"/>
      <c r="D57" s="407" t="s">
        <v>438</v>
      </c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9"/>
      <c r="Y57" s="203"/>
    </row>
    <row r="58" spans="2:25" ht="15" customHeight="1" x14ac:dyDescent="0.25">
      <c r="B58" s="79" t="s">
        <v>439</v>
      </c>
      <c r="C58" s="68"/>
      <c r="D58" s="410" t="s">
        <v>440</v>
      </c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2"/>
      <c r="Y58" s="203"/>
    </row>
    <row r="59" spans="2:25" ht="36" x14ac:dyDescent="0.25">
      <c r="B59" s="59" t="s">
        <v>441</v>
      </c>
      <c r="C59" s="41"/>
      <c r="D59" s="75" t="s">
        <v>442</v>
      </c>
      <c r="E59" s="55" t="s">
        <v>294</v>
      </c>
      <c r="F59" s="55" t="s">
        <v>443</v>
      </c>
      <c r="G59" s="55" t="s">
        <v>444</v>
      </c>
      <c r="H59" s="54" t="s">
        <v>445</v>
      </c>
      <c r="I59" s="55" t="s">
        <v>298</v>
      </c>
      <c r="J59" s="55"/>
      <c r="K59" s="45">
        <f>M59+O59+Q59+S59+U59+W59</f>
        <v>348722.37</v>
      </c>
      <c r="L59" s="45">
        <f t="shared" ref="L59:L62" si="5">N59+P59+R59+T59+V59+X59</f>
        <v>348722.37</v>
      </c>
      <c r="M59" s="49">
        <v>26154.19</v>
      </c>
      <c r="N59" s="49">
        <v>26154.19</v>
      </c>
      <c r="O59" s="49">
        <v>26154.18</v>
      </c>
      <c r="P59" s="49">
        <v>26154.18</v>
      </c>
      <c r="Q59" s="62"/>
      <c r="R59" s="62"/>
      <c r="S59" s="45"/>
      <c r="T59" s="45"/>
      <c r="U59" s="45">
        <v>296414</v>
      </c>
      <c r="V59" s="45">
        <v>296414</v>
      </c>
      <c r="W59" s="67"/>
      <c r="X59" s="67"/>
      <c r="Y59" s="203">
        <f>'4 lentelė'!S58</f>
        <v>43132</v>
      </c>
    </row>
    <row r="60" spans="2:25" ht="24" x14ac:dyDescent="0.25">
      <c r="B60" s="59" t="s">
        <v>450</v>
      </c>
      <c r="C60" s="41"/>
      <c r="D60" s="75" t="s">
        <v>451</v>
      </c>
      <c r="E60" s="55" t="s">
        <v>308</v>
      </c>
      <c r="F60" s="55" t="s">
        <v>443</v>
      </c>
      <c r="G60" s="55" t="s">
        <v>349</v>
      </c>
      <c r="H60" s="54" t="s">
        <v>445</v>
      </c>
      <c r="I60" s="55" t="s">
        <v>298</v>
      </c>
      <c r="J60" s="55"/>
      <c r="K60" s="45">
        <f>M60+O60+Q60+S60+U60+W60</f>
        <v>134057.64705882352</v>
      </c>
      <c r="L60" s="45">
        <f t="shared" si="5"/>
        <v>134057.64000000001</v>
      </c>
      <c r="M60" s="49">
        <f>U60*15/85/2</f>
        <v>10054.323529411764</v>
      </c>
      <c r="N60" s="49">
        <v>10054.32</v>
      </c>
      <c r="O60" s="49">
        <f>M60</f>
        <v>10054.323529411764</v>
      </c>
      <c r="P60" s="49">
        <v>10054.32</v>
      </c>
      <c r="Q60" s="62"/>
      <c r="R60" s="62"/>
      <c r="S60" s="45"/>
      <c r="T60" s="45"/>
      <c r="U60" s="45">
        <v>113949</v>
      </c>
      <c r="V60" s="45">
        <v>113949</v>
      </c>
      <c r="W60" s="67"/>
      <c r="X60" s="67"/>
      <c r="Y60" s="203">
        <f>'4 lentelė'!S59</f>
        <v>43132</v>
      </c>
    </row>
    <row r="61" spans="2:25" ht="24" x14ac:dyDescent="0.25">
      <c r="B61" s="59" t="s">
        <v>452</v>
      </c>
      <c r="C61" s="41"/>
      <c r="D61" s="75" t="s">
        <v>453</v>
      </c>
      <c r="E61" s="55" t="s">
        <v>328</v>
      </c>
      <c r="F61" s="55" t="s">
        <v>443</v>
      </c>
      <c r="G61" s="55" t="s">
        <v>356</v>
      </c>
      <c r="H61" s="54" t="s">
        <v>445</v>
      </c>
      <c r="I61" s="55" t="s">
        <v>298</v>
      </c>
      <c r="J61" s="55"/>
      <c r="K61" s="45">
        <f>M61+O61+Q61+S61+U61+W61</f>
        <v>394072</v>
      </c>
      <c r="L61" s="45">
        <f t="shared" si="5"/>
        <v>349590.09</v>
      </c>
      <c r="M61" s="49">
        <v>29556</v>
      </c>
      <c r="N61" s="49">
        <v>26219.26</v>
      </c>
      <c r="O61" s="49">
        <v>29555</v>
      </c>
      <c r="P61" s="49">
        <v>26219.26</v>
      </c>
      <c r="Q61" s="45"/>
      <c r="R61" s="45"/>
      <c r="S61" s="45"/>
      <c r="T61" s="45"/>
      <c r="U61" s="45">
        <v>334961</v>
      </c>
      <c r="V61" s="45">
        <v>297151.57</v>
      </c>
      <c r="W61" s="67"/>
      <c r="X61" s="67"/>
      <c r="Y61" s="203">
        <f>'4 lentelė'!S60</f>
        <v>43138</v>
      </c>
    </row>
    <row r="62" spans="2:25" ht="24" x14ac:dyDescent="0.25">
      <c r="B62" s="59" t="s">
        <v>456</v>
      </c>
      <c r="C62" s="41"/>
      <c r="D62" s="75" t="s">
        <v>457</v>
      </c>
      <c r="E62" s="55" t="s">
        <v>304</v>
      </c>
      <c r="F62" s="55" t="s">
        <v>443</v>
      </c>
      <c r="G62" s="55" t="s">
        <v>320</v>
      </c>
      <c r="H62" s="54" t="s">
        <v>445</v>
      </c>
      <c r="I62" s="55" t="s">
        <v>298</v>
      </c>
      <c r="J62" s="55"/>
      <c r="K62" s="45">
        <f>M62+O62+Q62+S62+U62+W62</f>
        <v>544762.36</v>
      </c>
      <c r="L62" s="45">
        <f t="shared" si="5"/>
        <v>544762.36</v>
      </c>
      <c r="M62" s="49">
        <v>40857.18</v>
      </c>
      <c r="N62" s="49">
        <v>40857.18</v>
      </c>
      <c r="O62" s="49">
        <v>40857.18</v>
      </c>
      <c r="P62" s="49">
        <v>40857.18</v>
      </c>
      <c r="Q62" s="63"/>
      <c r="R62" s="63"/>
      <c r="S62" s="45"/>
      <c r="T62" s="45"/>
      <c r="U62" s="45">
        <v>463048</v>
      </c>
      <c r="V62" s="45">
        <v>463048</v>
      </c>
      <c r="W62" s="67"/>
      <c r="X62" s="67"/>
      <c r="Y62" s="203">
        <f>'4 lentelė'!S61</f>
        <v>43132</v>
      </c>
    </row>
    <row r="63" spans="2:25" ht="15" customHeight="1" x14ac:dyDescent="0.25">
      <c r="B63" s="79" t="s">
        <v>458</v>
      </c>
      <c r="C63" s="68"/>
      <c r="D63" s="410" t="s">
        <v>459</v>
      </c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12"/>
      <c r="Y63" s="203"/>
    </row>
    <row r="64" spans="2:25" ht="36" x14ac:dyDescent="0.25">
      <c r="B64" s="59" t="s">
        <v>460</v>
      </c>
      <c r="C64" s="41"/>
      <c r="D64" s="114" t="s">
        <v>461</v>
      </c>
      <c r="E64" s="55" t="s">
        <v>308</v>
      </c>
      <c r="F64" s="55" t="s">
        <v>443</v>
      </c>
      <c r="G64" s="55" t="s">
        <v>349</v>
      </c>
      <c r="H64" s="55" t="s">
        <v>462</v>
      </c>
      <c r="I64" s="55" t="s">
        <v>298</v>
      </c>
      <c r="J64" s="55"/>
      <c r="K64" s="45">
        <f>M64+O64+Q64+S64+U64+W64</f>
        <v>148515.76</v>
      </c>
      <c r="L64" s="45">
        <f t="shared" ref="L64:L67" si="6">N64+P64+R64+T64+V64+X64</f>
        <v>148515.76</v>
      </c>
      <c r="M64" s="45">
        <v>24397.759999999998</v>
      </c>
      <c r="N64" s="45">
        <v>24397.759999999998</v>
      </c>
      <c r="O64" s="45"/>
      <c r="P64" s="45"/>
      <c r="Q64" s="45"/>
      <c r="R64" s="45"/>
      <c r="S64" s="45"/>
      <c r="T64" s="45"/>
      <c r="U64" s="45">
        <v>124118</v>
      </c>
      <c r="V64" s="45">
        <v>124118</v>
      </c>
      <c r="W64" s="67"/>
      <c r="X64" s="118"/>
      <c r="Y64" s="203">
        <f>'4 lentelė'!S63</f>
        <v>43084</v>
      </c>
    </row>
    <row r="65" spans="2:25" ht="36" x14ac:dyDescent="0.25">
      <c r="B65" s="59" t="s">
        <v>465</v>
      </c>
      <c r="C65" s="41"/>
      <c r="D65" s="114" t="s">
        <v>466</v>
      </c>
      <c r="E65" s="55" t="s">
        <v>328</v>
      </c>
      <c r="F65" s="55" t="s">
        <v>443</v>
      </c>
      <c r="G65" s="55" t="s">
        <v>356</v>
      </c>
      <c r="H65" s="55" t="s">
        <v>462</v>
      </c>
      <c r="I65" s="55" t="s">
        <v>298</v>
      </c>
      <c r="J65" s="55"/>
      <c r="K65" s="45">
        <f>M65+O65+Q65+S65+U65+W65</f>
        <v>181044</v>
      </c>
      <c r="L65" s="45">
        <f t="shared" si="6"/>
        <v>130706.61</v>
      </c>
      <c r="M65" s="45">
        <v>27157</v>
      </c>
      <c r="N65" s="45">
        <v>19606</v>
      </c>
      <c r="O65" s="45"/>
      <c r="P65" s="45"/>
      <c r="Q65" s="45"/>
      <c r="R65" s="45"/>
      <c r="S65" s="45"/>
      <c r="T65" s="45"/>
      <c r="U65" s="45">
        <v>153887</v>
      </c>
      <c r="V65" s="45">
        <v>111100.61</v>
      </c>
      <c r="W65" s="67"/>
      <c r="X65" s="118"/>
      <c r="Y65" s="203">
        <f>'4 lentelė'!S64</f>
        <v>43091</v>
      </c>
    </row>
    <row r="66" spans="2:25" ht="36" x14ac:dyDescent="0.25">
      <c r="B66" s="59" t="s">
        <v>467</v>
      </c>
      <c r="C66" s="41"/>
      <c r="D66" s="114" t="s">
        <v>468</v>
      </c>
      <c r="E66" s="55" t="s">
        <v>304</v>
      </c>
      <c r="F66" s="55" t="s">
        <v>443</v>
      </c>
      <c r="G66" s="55" t="s">
        <v>320</v>
      </c>
      <c r="H66" s="55" t="s">
        <v>462</v>
      </c>
      <c r="I66" s="55" t="s">
        <v>298</v>
      </c>
      <c r="J66" s="55"/>
      <c r="K66" s="45">
        <f>M66+O66+Q66+S66+U66+W66</f>
        <v>250274.11</v>
      </c>
      <c r="L66" s="45">
        <f t="shared" si="6"/>
        <v>324610.48</v>
      </c>
      <c r="M66" s="45">
        <v>37541.11</v>
      </c>
      <c r="N66" s="45">
        <v>111877.48</v>
      </c>
      <c r="O66" s="45"/>
      <c r="P66" s="45"/>
      <c r="Q66" s="45"/>
      <c r="R66" s="45"/>
      <c r="S66" s="45"/>
      <c r="T66" s="45"/>
      <c r="U66" s="45">
        <v>212733</v>
      </c>
      <c r="V66" s="45">
        <v>212733</v>
      </c>
      <c r="W66" s="67"/>
      <c r="X66" s="67"/>
      <c r="Y66" s="203">
        <f>'4 lentelė'!S65</f>
        <v>43234</v>
      </c>
    </row>
    <row r="67" spans="2:25" ht="36" x14ac:dyDescent="0.25">
      <c r="B67" s="59" t="s">
        <v>469</v>
      </c>
      <c r="C67" s="41"/>
      <c r="D67" s="114" t="s">
        <v>470</v>
      </c>
      <c r="E67" s="55" t="s">
        <v>471</v>
      </c>
      <c r="F67" s="55" t="s">
        <v>443</v>
      </c>
      <c r="G67" s="55" t="s">
        <v>444</v>
      </c>
      <c r="H67" s="55" t="s">
        <v>462</v>
      </c>
      <c r="I67" s="55" t="s">
        <v>298</v>
      </c>
      <c r="J67" s="55"/>
      <c r="K67" s="45">
        <f>M67+O67+Q67+S67+U67+W67</f>
        <v>92842.82</v>
      </c>
      <c r="L67" s="45">
        <f t="shared" si="6"/>
        <v>92842.82</v>
      </c>
      <c r="M67" s="45">
        <v>28431.82</v>
      </c>
      <c r="N67" s="45">
        <v>28431.82</v>
      </c>
      <c r="O67" s="45"/>
      <c r="P67" s="45"/>
      <c r="Q67" s="45"/>
      <c r="R67" s="45"/>
      <c r="S67" s="45"/>
      <c r="T67" s="45"/>
      <c r="U67" s="45">
        <v>64411</v>
      </c>
      <c r="V67" s="45">
        <v>64411</v>
      </c>
      <c r="W67" s="67"/>
      <c r="X67" s="118"/>
      <c r="Y67" s="203">
        <f>'4 lentelė'!S66</f>
        <v>43045</v>
      </c>
    </row>
    <row r="68" spans="2:25" ht="15" customHeight="1" x14ac:dyDescent="0.25">
      <c r="B68" s="79" t="s">
        <v>472</v>
      </c>
      <c r="C68" s="68"/>
      <c r="D68" s="410" t="s">
        <v>473</v>
      </c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2"/>
      <c r="Y68" s="203"/>
    </row>
    <row r="69" spans="2:25" ht="24" x14ac:dyDescent="0.25">
      <c r="B69" s="59" t="s">
        <v>474</v>
      </c>
      <c r="C69" s="41"/>
      <c r="D69" s="74" t="s">
        <v>475</v>
      </c>
      <c r="E69" s="54" t="s">
        <v>294</v>
      </c>
      <c r="F69" s="55" t="s">
        <v>443</v>
      </c>
      <c r="G69" s="55" t="s">
        <v>444</v>
      </c>
      <c r="H69" s="55" t="s">
        <v>476</v>
      </c>
      <c r="I69" s="55" t="s">
        <v>298</v>
      </c>
      <c r="J69" s="55"/>
      <c r="K69" s="45">
        <f>M69+O69+Q69+S69+U69+W69</f>
        <v>809630.41999999993</v>
      </c>
      <c r="L69" s="45">
        <f t="shared" ref="L69:L71" si="7">N69+P69+R69+T69+V69+X69</f>
        <v>725656.21</v>
      </c>
      <c r="M69" s="45">
        <v>553430.44999999995</v>
      </c>
      <c r="N69" s="45">
        <v>469456.24</v>
      </c>
      <c r="O69" s="45">
        <v>20772.97</v>
      </c>
      <c r="P69" s="45">
        <v>20772.97</v>
      </c>
      <c r="Q69" s="45"/>
      <c r="R69" s="45"/>
      <c r="S69" s="45"/>
      <c r="T69" s="45"/>
      <c r="U69" s="45">
        <v>235427</v>
      </c>
      <c r="V69" s="45">
        <v>235427</v>
      </c>
      <c r="W69" s="67"/>
      <c r="X69" s="67"/>
      <c r="Y69" s="203">
        <f>'4 lentelė'!S68</f>
        <v>43178</v>
      </c>
    </row>
    <row r="70" spans="2:25" ht="36" x14ac:dyDescent="0.25">
      <c r="B70" s="59" t="s">
        <v>480</v>
      </c>
      <c r="C70" s="41"/>
      <c r="D70" s="74" t="s">
        <v>481</v>
      </c>
      <c r="E70" s="54" t="s">
        <v>328</v>
      </c>
      <c r="F70" s="55" t="s">
        <v>443</v>
      </c>
      <c r="G70" s="55" t="s">
        <v>426</v>
      </c>
      <c r="H70" s="55" t="s">
        <v>476</v>
      </c>
      <c r="I70" s="55" t="s">
        <v>298</v>
      </c>
      <c r="J70" s="55"/>
      <c r="K70" s="45">
        <f>M70+O70+Q70+S70+U70+W70</f>
        <v>226080</v>
      </c>
      <c r="L70" s="45">
        <f t="shared" si="7"/>
        <v>258030.9</v>
      </c>
      <c r="M70" s="45">
        <v>16956</v>
      </c>
      <c r="N70" s="45">
        <v>48906.9</v>
      </c>
      <c r="O70" s="45">
        <v>16956</v>
      </c>
      <c r="P70" s="45">
        <v>16956</v>
      </c>
      <c r="Q70" s="45"/>
      <c r="R70" s="45"/>
      <c r="S70" s="45"/>
      <c r="T70" s="45"/>
      <c r="U70" s="45">
        <v>192168</v>
      </c>
      <c r="V70" s="45">
        <v>192168</v>
      </c>
      <c r="W70" s="67"/>
      <c r="X70" s="67"/>
      <c r="Y70" s="203">
        <f>'4 lentelė'!S69</f>
        <v>43173</v>
      </c>
    </row>
    <row r="71" spans="2:25" ht="48" x14ac:dyDescent="0.25">
      <c r="B71" s="59" t="s">
        <v>484</v>
      </c>
      <c r="C71" s="41"/>
      <c r="D71" s="74" t="s">
        <v>485</v>
      </c>
      <c r="E71" s="54" t="s">
        <v>304</v>
      </c>
      <c r="F71" s="55" t="s">
        <v>443</v>
      </c>
      <c r="G71" s="55" t="s">
        <v>320</v>
      </c>
      <c r="H71" s="55" t="s">
        <v>476</v>
      </c>
      <c r="I71" s="55" t="s">
        <v>298</v>
      </c>
      <c r="J71" s="55"/>
      <c r="K71" s="45">
        <f>M71+O71+Q71+S71+U71+W71</f>
        <v>312531.76470588235</v>
      </c>
      <c r="L71" s="45">
        <f t="shared" si="7"/>
        <v>312531.76</v>
      </c>
      <c r="M71" s="45">
        <f>U71*15/85/2</f>
        <v>23439.882352941175</v>
      </c>
      <c r="N71" s="45">
        <v>23439.89</v>
      </c>
      <c r="O71" s="45">
        <f>M71</f>
        <v>23439.882352941175</v>
      </c>
      <c r="P71" s="45">
        <v>23439.87</v>
      </c>
      <c r="Q71" s="45"/>
      <c r="R71" s="45"/>
      <c r="S71" s="45"/>
      <c r="T71" s="45"/>
      <c r="U71" s="45">
        <v>265652</v>
      </c>
      <c r="V71" s="45">
        <v>265652</v>
      </c>
      <c r="W71" s="67"/>
      <c r="X71" s="67"/>
      <c r="Y71" s="203">
        <f>'4 lentelė'!S70</f>
        <v>43182</v>
      </c>
    </row>
    <row r="72" spans="2:25" x14ac:dyDescent="0.25">
      <c r="B72" s="69" t="s">
        <v>667</v>
      </c>
      <c r="C72" s="70"/>
      <c r="D72" s="374" t="s">
        <v>486</v>
      </c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6"/>
      <c r="Y72" s="203"/>
    </row>
    <row r="73" spans="2:25" x14ac:dyDescent="0.25">
      <c r="B73" s="79" t="s">
        <v>487</v>
      </c>
      <c r="C73" s="68"/>
      <c r="D73" s="365" t="s">
        <v>488</v>
      </c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7"/>
      <c r="Y73" s="203"/>
    </row>
    <row r="74" spans="2:25" ht="24" x14ac:dyDescent="0.25">
      <c r="B74" s="59" t="s">
        <v>489</v>
      </c>
      <c r="C74" s="41"/>
      <c r="D74" s="43" t="s">
        <v>490</v>
      </c>
      <c r="E74" s="54" t="s">
        <v>308</v>
      </c>
      <c r="F74" s="55" t="s">
        <v>491</v>
      </c>
      <c r="G74" s="55" t="s">
        <v>492</v>
      </c>
      <c r="H74" s="202" t="s">
        <v>493</v>
      </c>
      <c r="I74" s="55" t="s">
        <v>298</v>
      </c>
      <c r="J74" s="78"/>
      <c r="K74" s="45">
        <f>M74+O74+Q74+S74+U74+W74</f>
        <v>46877.647058823532</v>
      </c>
      <c r="L74" s="45">
        <v>46877.65</v>
      </c>
      <c r="M74" s="45">
        <f>O74</f>
        <v>3515.8235294117649</v>
      </c>
      <c r="N74" s="45">
        <v>3515.83</v>
      </c>
      <c r="O74" s="45">
        <f>7.5*U74/85</f>
        <v>3515.8235294117649</v>
      </c>
      <c r="P74" s="45">
        <f>7.5*V74/85</f>
        <v>3515.8235294117649</v>
      </c>
      <c r="Q74" s="45"/>
      <c r="R74" s="45"/>
      <c r="S74" s="45"/>
      <c r="T74" s="45"/>
      <c r="U74" s="45">
        <v>39846</v>
      </c>
      <c r="V74" s="45">
        <v>39846</v>
      </c>
      <c r="W74" s="67"/>
      <c r="X74" s="67"/>
      <c r="Y74" s="203">
        <f>'4 lentelė'!S73</f>
        <v>43284</v>
      </c>
    </row>
    <row r="75" spans="2:25" ht="24" x14ac:dyDescent="0.25">
      <c r="B75" s="59" t="s">
        <v>496</v>
      </c>
      <c r="C75" s="41"/>
      <c r="D75" s="43" t="s">
        <v>497</v>
      </c>
      <c r="E75" s="54" t="s">
        <v>498</v>
      </c>
      <c r="F75" s="55" t="s">
        <v>491</v>
      </c>
      <c r="G75" s="55" t="s">
        <v>426</v>
      </c>
      <c r="H75" s="202" t="s">
        <v>493</v>
      </c>
      <c r="I75" s="55" t="s">
        <v>298</v>
      </c>
      <c r="J75" s="78"/>
      <c r="K75" s="45">
        <f>M75+O75+Q75+S75+U75+W75</f>
        <v>137798.82352941178</v>
      </c>
      <c r="L75" s="45">
        <f t="shared" ref="L75" si="8">N75+P75+R75+T75+V75+X75</f>
        <v>137798.82</v>
      </c>
      <c r="M75" s="45">
        <f t="shared" ref="M75:M77" si="9">O75</f>
        <v>10334.911764705883</v>
      </c>
      <c r="N75" s="45">
        <v>10334.91</v>
      </c>
      <c r="O75" s="45">
        <f t="shared" ref="O75:O77" si="10">7.5*U75/85</f>
        <v>10334.911764705883</v>
      </c>
      <c r="P75" s="45">
        <v>10334.91</v>
      </c>
      <c r="Q75" s="45"/>
      <c r="R75" s="45"/>
      <c r="S75" s="45"/>
      <c r="T75" s="45"/>
      <c r="U75" s="45">
        <v>117129</v>
      </c>
      <c r="V75" s="45">
        <v>117129</v>
      </c>
      <c r="W75" s="67"/>
      <c r="X75" s="67"/>
      <c r="Y75" s="203">
        <f>'4 lentelė'!S74</f>
        <v>43259</v>
      </c>
    </row>
    <row r="76" spans="2:25" x14ac:dyDescent="0.25">
      <c r="B76" s="59" t="s">
        <v>501</v>
      </c>
      <c r="C76" s="41"/>
      <c r="D76" s="43" t="s">
        <v>502</v>
      </c>
      <c r="E76" s="54" t="s">
        <v>503</v>
      </c>
      <c r="F76" s="55" t="s">
        <v>491</v>
      </c>
      <c r="G76" s="55" t="s">
        <v>504</v>
      </c>
      <c r="H76" s="202" t="s">
        <v>493</v>
      </c>
      <c r="I76" s="55" t="s">
        <v>298</v>
      </c>
      <c r="J76" s="78"/>
      <c r="K76" s="45">
        <f>M76+O76+Q76+S76+U76+W76</f>
        <v>190492.9411764706</v>
      </c>
      <c r="L76" s="45">
        <v>190492.94</v>
      </c>
      <c r="M76" s="45">
        <f t="shared" si="9"/>
        <v>14286.970588235294</v>
      </c>
      <c r="N76" s="45">
        <v>14286.97</v>
      </c>
      <c r="O76" s="45">
        <f t="shared" si="10"/>
        <v>14286.970588235294</v>
      </c>
      <c r="P76" s="45">
        <v>14286.97</v>
      </c>
      <c r="Q76" s="45"/>
      <c r="R76" s="45"/>
      <c r="S76" s="45"/>
      <c r="T76" s="45"/>
      <c r="U76" s="45">
        <v>161919</v>
      </c>
      <c r="V76" s="45">
        <v>161919</v>
      </c>
      <c r="W76" s="67"/>
      <c r="X76" s="67"/>
      <c r="Y76" s="203">
        <f>'4 lentelė'!S75</f>
        <v>43289</v>
      </c>
    </row>
    <row r="77" spans="2:25" ht="24" x14ac:dyDescent="0.25">
      <c r="B77" s="59" t="s">
        <v>506</v>
      </c>
      <c r="C77" s="41"/>
      <c r="D77" s="43" t="s">
        <v>507</v>
      </c>
      <c r="E77" s="54" t="s">
        <v>508</v>
      </c>
      <c r="F77" s="55" t="s">
        <v>491</v>
      </c>
      <c r="G77" s="55" t="s">
        <v>509</v>
      </c>
      <c r="H77" s="202" t="s">
        <v>493</v>
      </c>
      <c r="I77" s="55" t="s">
        <v>298</v>
      </c>
      <c r="J77" s="78"/>
      <c r="K77" s="45">
        <f>M77+O77+Q77+S77+U77+W77</f>
        <v>121941.17647058824</v>
      </c>
      <c r="L77" s="45">
        <v>121941.18</v>
      </c>
      <c r="M77" s="45">
        <f t="shared" si="9"/>
        <v>9145.5882352941171</v>
      </c>
      <c r="N77" s="45">
        <v>9145.59</v>
      </c>
      <c r="O77" s="45">
        <f t="shared" si="10"/>
        <v>9145.5882352941171</v>
      </c>
      <c r="P77" s="45">
        <v>9145.59</v>
      </c>
      <c r="Q77" s="45"/>
      <c r="R77" s="45"/>
      <c r="S77" s="45"/>
      <c r="T77" s="45"/>
      <c r="U77" s="45">
        <v>103650</v>
      </c>
      <c r="V77" s="45">
        <v>103650</v>
      </c>
      <c r="W77" s="67"/>
      <c r="X77" s="67"/>
      <c r="Y77" s="203">
        <f>'4 lentelė'!S76</f>
        <v>43285</v>
      </c>
    </row>
    <row r="78" spans="2:25" x14ac:dyDescent="0.25">
      <c r="B78" s="79" t="s">
        <v>511</v>
      </c>
      <c r="C78" s="68"/>
      <c r="D78" s="365" t="s">
        <v>512</v>
      </c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7"/>
      <c r="Y78" s="203"/>
    </row>
    <row r="79" spans="2:25" ht="48" x14ac:dyDescent="0.25">
      <c r="B79" s="235" t="s">
        <v>707</v>
      </c>
      <c r="C79" s="235"/>
      <c r="D79" s="234" t="s">
        <v>708</v>
      </c>
      <c r="E79" s="235" t="s">
        <v>709</v>
      </c>
      <c r="F79" s="235" t="s">
        <v>491</v>
      </c>
      <c r="G79" s="236" t="s">
        <v>426</v>
      </c>
      <c r="H79" s="235" t="s">
        <v>710</v>
      </c>
      <c r="I79" s="235" t="s">
        <v>298</v>
      </c>
      <c r="J79" s="57"/>
      <c r="K79" s="45">
        <f>M79+O79+Q79+S79+U79+W79</f>
        <v>12312.237647058824</v>
      </c>
      <c r="L79" s="45">
        <v>12312.24</v>
      </c>
      <c r="M79" s="91">
        <v>923.42</v>
      </c>
      <c r="N79" s="45">
        <v>923.42</v>
      </c>
      <c r="O79" s="91">
        <v>923.4176470588236</v>
      </c>
      <c r="P79" s="45">
        <v>923.42</v>
      </c>
      <c r="Q79" s="45"/>
      <c r="R79" s="45"/>
      <c r="S79" s="45"/>
      <c r="T79" s="45"/>
      <c r="U79" s="91">
        <v>10465.4</v>
      </c>
      <c r="V79" s="45">
        <v>10465.4</v>
      </c>
      <c r="W79" s="67"/>
      <c r="X79" s="67"/>
      <c r="Y79" s="203">
        <f>'4 lentelė'!S78</f>
        <v>43313</v>
      </c>
    </row>
    <row r="80" spans="2:25" ht="36" x14ac:dyDescent="0.25">
      <c r="B80" s="235" t="s">
        <v>711</v>
      </c>
      <c r="C80" s="235"/>
      <c r="D80" s="234" t="s">
        <v>712</v>
      </c>
      <c r="E80" s="235" t="s">
        <v>308</v>
      </c>
      <c r="F80" s="235" t="s">
        <v>491</v>
      </c>
      <c r="G80" s="236" t="s">
        <v>713</v>
      </c>
      <c r="H80" s="235" t="s">
        <v>710</v>
      </c>
      <c r="I80" s="235" t="s">
        <v>298</v>
      </c>
      <c r="J80" s="57"/>
      <c r="K80" s="45">
        <f t="shared" ref="K80:K82" si="11">M80+O80+Q80+S80+U80+W80</f>
        <v>4317</v>
      </c>
      <c r="L80" s="45">
        <v>4317</v>
      </c>
      <c r="M80" s="91">
        <v>323.7</v>
      </c>
      <c r="N80" s="45">
        <v>323.7</v>
      </c>
      <c r="O80" s="91">
        <v>323.7</v>
      </c>
      <c r="P80" s="45">
        <v>323.7</v>
      </c>
      <c r="Q80" s="45"/>
      <c r="R80" s="45"/>
      <c r="S80" s="45"/>
      <c r="T80" s="45"/>
      <c r="U80" s="91">
        <v>3669.6</v>
      </c>
      <c r="V80" s="45">
        <v>3669.6</v>
      </c>
      <c r="W80" s="67"/>
      <c r="X80" s="67"/>
      <c r="Y80" s="203">
        <f>'4 lentelė'!S79</f>
        <v>43285</v>
      </c>
    </row>
    <row r="81" spans="2:25" ht="48" x14ac:dyDescent="0.25">
      <c r="B81" s="238" t="s">
        <v>714</v>
      </c>
      <c r="C81" s="238"/>
      <c r="D81" s="237" t="s">
        <v>715</v>
      </c>
      <c r="E81" s="236" t="s">
        <v>716</v>
      </c>
      <c r="F81" s="236" t="s">
        <v>491</v>
      </c>
      <c r="G81" s="236" t="s">
        <v>575</v>
      </c>
      <c r="H81" s="236" t="s">
        <v>710</v>
      </c>
      <c r="I81" s="236" t="s">
        <v>298</v>
      </c>
      <c r="J81" s="57"/>
      <c r="K81" s="45">
        <f t="shared" si="11"/>
        <v>10980</v>
      </c>
      <c r="L81" s="45">
        <v>10980</v>
      </c>
      <c r="M81" s="91">
        <v>823.5</v>
      </c>
      <c r="N81" s="45">
        <v>823.5</v>
      </c>
      <c r="O81" s="91">
        <v>823.5</v>
      </c>
      <c r="P81" s="45">
        <v>823.5</v>
      </c>
      <c r="Q81" s="45"/>
      <c r="R81" s="45"/>
      <c r="S81" s="45"/>
      <c r="T81" s="45"/>
      <c r="U81" s="91">
        <v>9333</v>
      </c>
      <c r="V81" s="45">
        <v>9333</v>
      </c>
      <c r="W81" s="67"/>
      <c r="X81" s="67"/>
      <c r="Y81" s="203">
        <f>'4 lentelė'!S80</f>
        <v>43285</v>
      </c>
    </row>
    <row r="82" spans="2:25" ht="36" x14ac:dyDescent="0.25">
      <c r="B82" s="238" t="s">
        <v>717</v>
      </c>
      <c r="C82" s="238"/>
      <c r="D82" s="237" t="s">
        <v>718</v>
      </c>
      <c r="E82" s="236" t="s">
        <v>719</v>
      </c>
      <c r="F82" s="236" t="s">
        <v>491</v>
      </c>
      <c r="G82" s="236" t="s">
        <v>390</v>
      </c>
      <c r="H82" s="236" t="s">
        <v>710</v>
      </c>
      <c r="I82" s="236" t="s">
        <v>298</v>
      </c>
      <c r="J82" s="57"/>
      <c r="K82" s="45">
        <f t="shared" si="11"/>
        <v>17152.939999999999</v>
      </c>
      <c r="L82" s="45">
        <f t="shared" ref="L82" si="12">N82+P82+R82+T82+V82+X82</f>
        <v>0</v>
      </c>
      <c r="M82" s="91">
        <v>1286.47</v>
      </c>
      <c r="N82" s="45"/>
      <c r="O82" s="91">
        <v>1286.47</v>
      </c>
      <c r="P82" s="45"/>
      <c r="Q82" s="45"/>
      <c r="R82" s="45"/>
      <c r="S82" s="45"/>
      <c r="T82" s="45"/>
      <c r="U82" s="91">
        <v>14580</v>
      </c>
      <c r="V82" s="45"/>
      <c r="W82" s="67"/>
      <c r="X82" s="67"/>
      <c r="Y82" s="203">
        <f>'4 lentelė'!S81</f>
        <v>0</v>
      </c>
    </row>
    <row r="83" spans="2:25" x14ac:dyDescent="0.25">
      <c r="B83" s="79" t="s">
        <v>513</v>
      </c>
      <c r="C83" s="68"/>
      <c r="D83" s="365" t="s">
        <v>514</v>
      </c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7"/>
      <c r="Y83" s="203"/>
    </row>
    <row r="84" spans="2:25" ht="24" x14ac:dyDescent="0.25">
      <c r="B84" s="159" t="s">
        <v>720</v>
      </c>
      <c r="C84" s="159"/>
      <c r="D84" s="47" t="s">
        <v>721</v>
      </c>
      <c r="E84" s="53" t="s">
        <v>308</v>
      </c>
      <c r="F84" s="53" t="s">
        <v>491</v>
      </c>
      <c r="G84" s="53" t="s">
        <v>713</v>
      </c>
      <c r="H84" s="159" t="s">
        <v>722</v>
      </c>
      <c r="I84" s="159" t="s">
        <v>298</v>
      </c>
      <c r="J84" s="57"/>
      <c r="K84" s="45">
        <f t="shared" ref="K84" si="13">M84+O84+Q84+S84+U84+W84</f>
        <v>33913.85</v>
      </c>
      <c r="L84" s="45">
        <f t="shared" ref="L84" si="14">N84+P84+R84+T84+V84+X84</f>
        <v>0</v>
      </c>
      <c r="M84" s="91">
        <v>2543.5300000000002</v>
      </c>
      <c r="N84" s="45"/>
      <c r="O84" s="91">
        <v>2543.5300000000002</v>
      </c>
      <c r="P84" s="45"/>
      <c r="Q84" s="91"/>
      <c r="R84" s="45"/>
      <c r="S84" s="45"/>
      <c r="T84" s="45"/>
      <c r="U84" s="91">
        <v>28826.79</v>
      </c>
      <c r="V84" s="45"/>
      <c r="W84" s="67"/>
      <c r="X84" s="67"/>
      <c r="Y84" s="203">
        <f>'4 lentelė'!S83</f>
        <v>0</v>
      </c>
    </row>
    <row r="85" spans="2:25" ht="24" x14ac:dyDescent="0.25">
      <c r="B85" s="159" t="s">
        <v>723</v>
      </c>
      <c r="C85" s="159"/>
      <c r="D85" s="47" t="s">
        <v>724</v>
      </c>
      <c r="E85" s="53" t="s">
        <v>725</v>
      </c>
      <c r="F85" s="53" t="s">
        <v>491</v>
      </c>
      <c r="G85" s="53" t="s">
        <v>713</v>
      </c>
      <c r="H85" s="159" t="s">
        <v>722</v>
      </c>
      <c r="I85" s="159" t="s">
        <v>298</v>
      </c>
      <c r="J85" s="57"/>
      <c r="K85" s="45">
        <f t="shared" ref="K85:K100" si="15">M85+O85+Q85+S85+U85+W85</f>
        <v>34079.07</v>
      </c>
      <c r="L85" s="45">
        <f t="shared" ref="L85:L100" si="16">N85+P85+R85+T85+V85+X85</f>
        <v>0</v>
      </c>
      <c r="M85" s="91"/>
      <c r="N85" s="45"/>
      <c r="O85" s="91">
        <v>2555.9299999999998</v>
      </c>
      <c r="P85" s="45"/>
      <c r="Q85" s="91">
        <v>2555.9299999999998</v>
      </c>
      <c r="R85" s="45"/>
      <c r="S85" s="45"/>
      <c r="T85" s="45"/>
      <c r="U85" s="91">
        <v>28967.21</v>
      </c>
      <c r="V85" s="45"/>
      <c r="W85" s="67"/>
      <c r="X85" s="67"/>
      <c r="Y85" s="203">
        <f>'4 lentelė'!S84</f>
        <v>0</v>
      </c>
    </row>
    <row r="86" spans="2:25" ht="36" x14ac:dyDescent="0.25">
      <c r="B86" s="159" t="s">
        <v>726</v>
      </c>
      <c r="C86" s="159"/>
      <c r="D86" s="47" t="s">
        <v>727</v>
      </c>
      <c r="E86" s="53" t="s">
        <v>728</v>
      </c>
      <c r="F86" s="53" t="s">
        <v>491</v>
      </c>
      <c r="G86" s="53" t="s">
        <v>729</v>
      </c>
      <c r="H86" s="159" t="s">
        <v>722</v>
      </c>
      <c r="I86" s="159" t="s">
        <v>298</v>
      </c>
      <c r="J86" s="57"/>
      <c r="K86" s="45">
        <f t="shared" si="15"/>
        <v>178381.68000000002</v>
      </c>
      <c r="L86" s="45">
        <f t="shared" si="16"/>
        <v>0</v>
      </c>
      <c r="M86" s="91">
        <v>13378.64</v>
      </c>
      <c r="N86" s="45"/>
      <c r="O86" s="91">
        <v>13378.62</v>
      </c>
      <c r="P86" s="45"/>
      <c r="Q86" s="91"/>
      <c r="R86" s="45"/>
      <c r="S86" s="45"/>
      <c r="T86" s="45"/>
      <c r="U86" s="91">
        <v>151624.42000000001</v>
      </c>
      <c r="V86" s="45"/>
      <c r="W86" s="67"/>
      <c r="X86" s="67"/>
      <c r="Y86" s="203">
        <f>'4 lentelė'!S85</f>
        <v>0</v>
      </c>
    </row>
    <row r="87" spans="2:25" ht="36" x14ac:dyDescent="0.25">
      <c r="B87" s="159" t="s">
        <v>730</v>
      </c>
      <c r="C87" s="159"/>
      <c r="D87" s="47" t="s">
        <v>731</v>
      </c>
      <c r="E87" s="53" t="s">
        <v>732</v>
      </c>
      <c r="F87" s="53" t="s">
        <v>491</v>
      </c>
      <c r="G87" s="53" t="s">
        <v>729</v>
      </c>
      <c r="H87" s="159" t="s">
        <v>722</v>
      </c>
      <c r="I87" s="159" t="s">
        <v>298</v>
      </c>
      <c r="J87" s="57"/>
      <c r="K87" s="45">
        <f t="shared" si="15"/>
        <v>24189.1</v>
      </c>
      <c r="L87" s="45">
        <f t="shared" si="16"/>
        <v>0</v>
      </c>
      <c r="M87" s="91"/>
      <c r="N87" s="45"/>
      <c r="O87" s="91">
        <v>1814.18</v>
      </c>
      <c r="P87" s="45"/>
      <c r="Q87" s="91">
        <v>1814.19</v>
      </c>
      <c r="R87" s="45"/>
      <c r="S87" s="45"/>
      <c r="T87" s="45"/>
      <c r="U87" s="91">
        <v>20560.73</v>
      </c>
      <c r="V87" s="45"/>
      <c r="W87" s="67"/>
      <c r="X87" s="67"/>
      <c r="Y87" s="203">
        <f>'4 lentelė'!S86</f>
        <v>0</v>
      </c>
    </row>
    <row r="88" spans="2:25" ht="36" x14ac:dyDescent="0.25">
      <c r="B88" s="159" t="s">
        <v>733</v>
      </c>
      <c r="C88" s="159"/>
      <c r="D88" s="47" t="s">
        <v>734</v>
      </c>
      <c r="E88" s="53" t="s">
        <v>735</v>
      </c>
      <c r="F88" s="53" t="s">
        <v>491</v>
      </c>
      <c r="G88" s="53" t="s">
        <v>729</v>
      </c>
      <c r="H88" s="159" t="s">
        <v>722</v>
      </c>
      <c r="I88" s="159" t="s">
        <v>298</v>
      </c>
      <c r="J88" s="57"/>
      <c r="K88" s="45">
        <f t="shared" si="15"/>
        <v>23626.350000000002</v>
      </c>
      <c r="L88" s="45">
        <f t="shared" si="16"/>
        <v>0</v>
      </c>
      <c r="M88" s="91"/>
      <c r="N88" s="45"/>
      <c r="O88" s="91">
        <v>1771.97</v>
      </c>
      <c r="P88" s="45"/>
      <c r="Q88" s="91">
        <v>1771.98</v>
      </c>
      <c r="R88" s="45"/>
      <c r="S88" s="45"/>
      <c r="T88" s="45"/>
      <c r="U88" s="91">
        <v>20082.400000000001</v>
      </c>
      <c r="V88" s="45"/>
      <c r="W88" s="67"/>
      <c r="X88" s="67"/>
      <c r="Y88" s="203">
        <f>'4 lentelė'!S87</f>
        <v>0</v>
      </c>
    </row>
    <row r="89" spans="2:25" ht="36" x14ac:dyDescent="0.25">
      <c r="B89" s="159" t="s">
        <v>736</v>
      </c>
      <c r="C89" s="159"/>
      <c r="D89" s="47" t="s">
        <v>737</v>
      </c>
      <c r="E89" s="53" t="s">
        <v>738</v>
      </c>
      <c r="F89" s="53" t="s">
        <v>491</v>
      </c>
      <c r="G89" s="53" t="s">
        <v>729</v>
      </c>
      <c r="H89" s="159" t="s">
        <v>722</v>
      </c>
      <c r="I89" s="159" t="s">
        <v>298</v>
      </c>
      <c r="J89" s="57"/>
      <c r="K89" s="45">
        <f t="shared" si="15"/>
        <v>14262.54</v>
      </c>
      <c r="L89" s="45">
        <f t="shared" si="16"/>
        <v>0</v>
      </c>
      <c r="M89" s="91"/>
      <c r="N89" s="45"/>
      <c r="O89" s="91">
        <v>1069.69</v>
      </c>
      <c r="P89" s="45"/>
      <c r="Q89" s="91">
        <v>1069.7</v>
      </c>
      <c r="R89" s="45"/>
      <c r="S89" s="45"/>
      <c r="T89" s="45"/>
      <c r="U89" s="91">
        <v>12123.15</v>
      </c>
      <c r="V89" s="45"/>
      <c r="W89" s="67"/>
      <c r="X89" s="67"/>
      <c r="Y89" s="203">
        <f>'4 lentelė'!S88</f>
        <v>0</v>
      </c>
    </row>
    <row r="90" spans="2:25" ht="36" x14ac:dyDescent="0.25">
      <c r="B90" s="159" t="s">
        <v>739</v>
      </c>
      <c r="C90" s="159"/>
      <c r="D90" s="47" t="s">
        <v>740</v>
      </c>
      <c r="E90" s="53" t="s">
        <v>741</v>
      </c>
      <c r="F90" s="53" t="s">
        <v>491</v>
      </c>
      <c r="G90" s="53" t="s">
        <v>729</v>
      </c>
      <c r="H90" s="159" t="s">
        <v>722</v>
      </c>
      <c r="I90" s="159" t="s">
        <v>298</v>
      </c>
      <c r="J90" s="57"/>
      <c r="K90" s="45">
        <f t="shared" si="15"/>
        <v>21476.829999999998</v>
      </c>
      <c r="L90" s="45">
        <f t="shared" si="16"/>
        <v>0</v>
      </c>
      <c r="M90" s="91"/>
      <c r="N90" s="45"/>
      <c r="O90" s="91">
        <v>1610.76</v>
      </c>
      <c r="P90" s="45"/>
      <c r="Q90" s="91">
        <v>1610.77</v>
      </c>
      <c r="R90" s="45"/>
      <c r="S90" s="45"/>
      <c r="T90" s="45"/>
      <c r="U90" s="91">
        <v>18255.3</v>
      </c>
      <c r="V90" s="45"/>
      <c r="W90" s="67"/>
      <c r="X90" s="67"/>
      <c r="Y90" s="203">
        <f>'4 lentelė'!S89</f>
        <v>0</v>
      </c>
    </row>
    <row r="91" spans="2:25" ht="24" x14ac:dyDescent="0.25">
      <c r="B91" s="159" t="s">
        <v>742</v>
      </c>
      <c r="C91" s="159"/>
      <c r="D91" s="47" t="s">
        <v>743</v>
      </c>
      <c r="E91" s="53" t="s">
        <v>744</v>
      </c>
      <c r="F91" s="53" t="s">
        <v>491</v>
      </c>
      <c r="G91" s="53" t="s">
        <v>342</v>
      </c>
      <c r="H91" s="159" t="s">
        <v>722</v>
      </c>
      <c r="I91" s="159" t="s">
        <v>298</v>
      </c>
      <c r="J91" s="57"/>
      <c r="K91" s="45">
        <f t="shared" si="15"/>
        <v>100228.23</v>
      </c>
      <c r="L91" s="45">
        <f t="shared" si="16"/>
        <v>0</v>
      </c>
      <c r="M91" s="91">
        <v>7517.12</v>
      </c>
      <c r="N91" s="45"/>
      <c r="O91" s="91">
        <v>7517.11</v>
      </c>
      <c r="P91" s="45"/>
      <c r="Q91" s="91"/>
      <c r="R91" s="45"/>
      <c r="S91" s="45"/>
      <c r="T91" s="45"/>
      <c r="U91" s="91">
        <v>85194</v>
      </c>
      <c r="V91" s="45"/>
      <c r="W91" s="67"/>
      <c r="X91" s="67"/>
      <c r="Y91" s="203">
        <f>'4 lentelė'!S90</f>
        <v>0</v>
      </c>
    </row>
    <row r="92" spans="2:25" ht="36" x14ac:dyDescent="0.25">
      <c r="B92" s="159" t="s">
        <v>745</v>
      </c>
      <c r="C92" s="159"/>
      <c r="D92" s="47" t="s">
        <v>746</v>
      </c>
      <c r="E92" s="53" t="s">
        <v>747</v>
      </c>
      <c r="F92" s="53" t="s">
        <v>491</v>
      </c>
      <c r="G92" s="53" t="s">
        <v>342</v>
      </c>
      <c r="H92" s="159" t="s">
        <v>722</v>
      </c>
      <c r="I92" s="159" t="s">
        <v>298</v>
      </c>
      <c r="J92" s="57"/>
      <c r="K92" s="45">
        <f t="shared" si="15"/>
        <v>52792.94</v>
      </c>
      <c r="L92" s="45">
        <f t="shared" si="16"/>
        <v>0</v>
      </c>
      <c r="M92" s="91"/>
      <c r="N92" s="45"/>
      <c r="O92" s="91">
        <v>3959.47</v>
      </c>
      <c r="P92" s="45"/>
      <c r="Q92" s="91">
        <v>3959.47</v>
      </c>
      <c r="R92" s="45"/>
      <c r="S92" s="45"/>
      <c r="T92" s="45"/>
      <c r="U92" s="91">
        <v>44874</v>
      </c>
      <c r="V92" s="45"/>
      <c r="W92" s="67"/>
      <c r="X92" s="67"/>
      <c r="Y92" s="203">
        <f>'4 lentelė'!S91</f>
        <v>0</v>
      </c>
    </row>
    <row r="93" spans="2:25" ht="36" x14ac:dyDescent="0.25">
      <c r="B93" s="159" t="s">
        <v>748</v>
      </c>
      <c r="C93" s="159"/>
      <c r="D93" s="47" t="s">
        <v>749</v>
      </c>
      <c r="E93" s="53" t="s">
        <v>750</v>
      </c>
      <c r="F93" s="53" t="s">
        <v>491</v>
      </c>
      <c r="G93" s="53" t="s">
        <v>342</v>
      </c>
      <c r="H93" s="159" t="s">
        <v>722</v>
      </c>
      <c r="I93" s="159" t="s">
        <v>298</v>
      </c>
      <c r="J93" s="57"/>
      <c r="K93" s="45">
        <f t="shared" si="15"/>
        <v>21270.58</v>
      </c>
      <c r="L93" s="45">
        <f t="shared" si="16"/>
        <v>0</v>
      </c>
      <c r="M93" s="91">
        <v>1595.29</v>
      </c>
      <c r="N93" s="45"/>
      <c r="O93" s="91">
        <v>1595.29</v>
      </c>
      <c r="P93" s="45"/>
      <c r="Q93" s="91"/>
      <c r="R93" s="45"/>
      <c r="S93" s="45"/>
      <c r="T93" s="45"/>
      <c r="U93" s="91">
        <v>18080</v>
      </c>
      <c r="V93" s="45"/>
      <c r="W93" s="67"/>
      <c r="X93" s="67"/>
      <c r="Y93" s="203">
        <f>'4 lentelė'!S92</f>
        <v>0</v>
      </c>
    </row>
    <row r="94" spans="2:25" ht="36" x14ac:dyDescent="0.25">
      <c r="B94" s="159" t="s">
        <v>751</v>
      </c>
      <c r="C94" s="159"/>
      <c r="D94" s="47" t="s">
        <v>752</v>
      </c>
      <c r="E94" s="53" t="s">
        <v>753</v>
      </c>
      <c r="F94" s="53" t="s">
        <v>491</v>
      </c>
      <c r="G94" s="53" t="s">
        <v>342</v>
      </c>
      <c r="H94" s="159" t="s">
        <v>722</v>
      </c>
      <c r="I94" s="159" t="s">
        <v>298</v>
      </c>
      <c r="J94" s="57"/>
      <c r="K94" s="45">
        <f t="shared" si="15"/>
        <v>18170.59</v>
      </c>
      <c r="L94" s="45">
        <f t="shared" si="16"/>
        <v>0</v>
      </c>
      <c r="M94" s="91">
        <v>1362.8</v>
      </c>
      <c r="N94" s="45"/>
      <c r="O94" s="91">
        <v>1362.79</v>
      </c>
      <c r="P94" s="45"/>
      <c r="Q94" s="91"/>
      <c r="R94" s="45"/>
      <c r="S94" s="45"/>
      <c r="T94" s="45"/>
      <c r="U94" s="91">
        <v>15445</v>
      </c>
      <c r="V94" s="45"/>
      <c r="W94" s="67"/>
      <c r="X94" s="67"/>
      <c r="Y94" s="203">
        <f>'4 lentelė'!S93</f>
        <v>0</v>
      </c>
    </row>
    <row r="95" spans="2:25" ht="36" x14ac:dyDescent="0.25">
      <c r="B95" s="159" t="s">
        <v>754</v>
      </c>
      <c r="C95" s="159"/>
      <c r="D95" s="47" t="s">
        <v>755</v>
      </c>
      <c r="E95" s="53" t="s">
        <v>756</v>
      </c>
      <c r="F95" s="53" t="s">
        <v>491</v>
      </c>
      <c r="G95" s="53" t="s">
        <v>342</v>
      </c>
      <c r="H95" s="159" t="s">
        <v>722</v>
      </c>
      <c r="I95" s="159" t="s">
        <v>298</v>
      </c>
      <c r="J95" s="57"/>
      <c r="K95" s="45">
        <f t="shared" si="15"/>
        <v>24982.35</v>
      </c>
      <c r="L95" s="45">
        <f t="shared" si="16"/>
        <v>0</v>
      </c>
      <c r="M95" s="91">
        <v>1873.68</v>
      </c>
      <c r="N95" s="45"/>
      <c r="O95" s="91">
        <v>1873.67</v>
      </c>
      <c r="P95" s="45"/>
      <c r="Q95" s="91"/>
      <c r="R95" s="45"/>
      <c r="S95" s="45"/>
      <c r="T95" s="45"/>
      <c r="U95" s="91">
        <v>21235</v>
      </c>
      <c r="V95" s="45"/>
      <c r="W95" s="67"/>
      <c r="X95" s="67"/>
      <c r="Y95" s="203">
        <f>'4 lentelė'!S94</f>
        <v>0</v>
      </c>
    </row>
    <row r="96" spans="2:25" ht="24" x14ac:dyDescent="0.25">
      <c r="B96" s="159" t="s">
        <v>757</v>
      </c>
      <c r="C96" s="159"/>
      <c r="D96" s="47" t="s">
        <v>758</v>
      </c>
      <c r="E96" s="53" t="s">
        <v>759</v>
      </c>
      <c r="F96" s="53" t="s">
        <v>491</v>
      </c>
      <c r="G96" s="53" t="s">
        <v>342</v>
      </c>
      <c r="H96" s="159" t="s">
        <v>722</v>
      </c>
      <c r="I96" s="159" t="s">
        <v>298</v>
      </c>
      <c r="J96" s="57"/>
      <c r="K96" s="45">
        <f t="shared" si="15"/>
        <v>17587.04</v>
      </c>
      <c r="L96" s="45">
        <f t="shared" si="16"/>
        <v>0</v>
      </c>
      <c r="M96" s="91">
        <v>1319.02</v>
      </c>
      <c r="N96" s="45"/>
      <c r="O96" s="91">
        <v>1319.02</v>
      </c>
      <c r="P96" s="45"/>
      <c r="Q96" s="91"/>
      <c r="R96" s="45"/>
      <c r="S96" s="45"/>
      <c r="T96" s="45"/>
      <c r="U96" s="91">
        <v>14949</v>
      </c>
      <c r="V96" s="45"/>
      <c r="W96" s="67"/>
      <c r="X96" s="67"/>
      <c r="Y96" s="203">
        <f>'4 lentelė'!S95</f>
        <v>0</v>
      </c>
    </row>
    <row r="97" spans="2:25" ht="36" x14ac:dyDescent="0.25">
      <c r="B97" s="159" t="s">
        <v>760</v>
      </c>
      <c r="C97" s="159"/>
      <c r="D97" s="47" t="s">
        <v>761</v>
      </c>
      <c r="E97" s="53" t="s">
        <v>762</v>
      </c>
      <c r="F97" s="53" t="s">
        <v>491</v>
      </c>
      <c r="G97" s="53" t="s">
        <v>763</v>
      </c>
      <c r="H97" s="159" t="s">
        <v>722</v>
      </c>
      <c r="I97" s="159" t="s">
        <v>298</v>
      </c>
      <c r="J97" s="57"/>
      <c r="K97" s="45">
        <f t="shared" si="15"/>
        <v>240523</v>
      </c>
      <c r="L97" s="45">
        <f t="shared" si="16"/>
        <v>0</v>
      </c>
      <c r="M97" s="91">
        <v>18039.23</v>
      </c>
      <c r="N97" s="45"/>
      <c r="O97" s="91">
        <v>18039.22</v>
      </c>
      <c r="P97" s="45"/>
      <c r="Q97" s="91"/>
      <c r="R97" s="45"/>
      <c r="S97" s="45"/>
      <c r="T97" s="45"/>
      <c r="U97" s="91">
        <v>204444.55</v>
      </c>
      <c r="V97" s="45"/>
      <c r="W97" s="67"/>
      <c r="X97" s="67"/>
      <c r="Y97" s="203">
        <f>'4 lentelė'!S96</f>
        <v>0</v>
      </c>
    </row>
    <row r="98" spans="2:25" ht="24" x14ac:dyDescent="0.25">
      <c r="B98" s="159" t="s">
        <v>764</v>
      </c>
      <c r="C98" s="159"/>
      <c r="D98" s="47" t="s">
        <v>765</v>
      </c>
      <c r="E98" s="53" t="s">
        <v>766</v>
      </c>
      <c r="F98" s="53" t="s">
        <v>491</v>
      </c>
      <c r="G98" s="53" t="s">
        <v>763</v>
      </c>
      <c r="H98" s="159" t="s">
        <v>722</v>
      </c>
      <c r="I98" s="159" t="s">
        <v>298</v>
      </c>
      <c r="J98" s="57"/>
      <c r="K98" s="45">
        <f t="shared" si="15"/>
        <v>47242</v>
      </c>
      <c r="L98" s="45">
        <f t="shared" si="16"/>
        <v>0</v>
      </c>
      <c r="M98" s="91"/>
      <c r="N98" s="45"/>
      <c r="O98" s="91">
        <v>3543.15</v>
      </c>
      <c r="P98" s="45"/>
      <c r="Q98" s="91">
        <v>3543.15</v>
      </c>
      <c r="R98" s="45"/>
      <c r="S98" s="45"/>
      <c r="T98" s="45"/>
      <c r="U98" s="91">
        <v>40155.699999999997</v>
      </c>
      <c r="V98" s="45"/>
      <c r="W98" s="67"/>
      <c r="X98" s="67"/>
      <c r="Y98" s="203">
        <f>'4 lentelė'!S97</f>
        <v>0</v>
      </c>
    </row>
    <row r="99" spans="2:25" ht="36" x14ac:dyDescent="0.25">
      <c r="B99" s="159" t="s">
        <v>767</v>
      </c>
      <c r="C99" s="159"/>
      <c r="D99" s="47" t="s">
        <v>768</v>
      </c>
      <c r="E99" s="53" t="s">
        <v>769</v>
      </c>
      <c r="F99" s="53" t="s">
        <v>491</v>
      </c>
      <c r="G99" s="53" t="s">
        <v>763</v>
      </c>
      <c r="H99" s="159" t="s">
        <v>722</v>
      </c>
      <c r="I99" s="159" t="s">
        <v>298</v>
      </c>
      <c r="J99" s="57"/>
      <c r="K99" s="45">
        <f t="shared" si="15"/>
        <v>23724</v>
      </c>
      <c r="L99" s="45">
        <f t="shared" si="16"/>
        <v>0</v>
      </c>
      <c r="M99" s="91"/>
      <c r="N99" s="45"/>
      <c r="O99" s="91">
        <v>1779.3</v>
      </c>
      <c r="P99" s="45"/>
      <c r="Q99" s="91">
        <v>1779.3</v>
      </c>
      <c r="R99" s="45"/>
      <c r="S99" s="45"/>
      <c r="T99" s="45"/>
      <c r="U99" s="91">
        <v>20165.400000000001</v>
      </c>
      <c r="V99" s="45"/>
      <c r="W99" s="67"/>
      <c r="X99" s="67"/>
      <c r="Y99" s="203">
        <f>'4 lentelė'!S98</f>
        <v>0</v>
      </c>
    </row>
    <row r="100" spans="2:25" ht="36" x14ac:dyDescent="0.25">
      <c r="B100" s="159" t="s">
        <v>770</v>
      </c>
      <c r="C100" s="159"/>
      <c r="D100" s="47" t="s">
        <v>771</v>
      </c>
      <c r="E100" s="53" t="s">
        <v>772</v>
      </c>
      <c r="F100" s="53" t="s">
        <v>491</v>
      </c>
      <c r="G100" s="53" t="s">
        <v>763</v>
      </c>
      <c r="H100" s="159" t="s">
        <v>722</v>
      </c>
      <c r="I100" s="159" t="s">
        <v>298</v>
      </c>
      <c r="J100" s="57"/>
      <c r="K100" s="45">
        <f t="shared" si="15"/>
        <v>107171</v>
      </c>
      <c r="L100" s="45">
        <f t="shared" si="16"/>
        <v>0</v>
      </c>
      <c r="M100" s="91"/>
      <c r="N100" s="45"/>
      <c r="O100" s="91">
        <v>8037.82</v>
      </c>
      <c r="P100" s="45"/>
      <c r="Q100" s="91">
        <v>8037.83</v>
      </c>
      <c r="R100" s="45"/>
      <c r="S100" s="45"/>
      <c r="T100" s="45"/>
      <c r="U100" s="91">
        <v>91095.35</v>
      </c>
      <c r="V100" s="45"/>
      <c r="W100" s="67"/>
      <c r="X100" s="67"/>
      <c r="Y100" s="203">
        <f>'4 lentelė'!S99</f>
        <v>0</v>
      </c>
    </row>
    <row r="101" spans="2:25" x14ac:dyDescent="0.25">
      <c r="B101" s="69" t="s">
        <v>668</v>
      </c>
      <c r="C101" s="70"/>
      <c r="D101" s="374" t="s">
        <v>515</v>
      </c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6"/>
      <c r="Y101" s="203"/>
    </row>
    <row r="102" spans="2:25" x14ac:dyDescent="0.25">
      <c r="B102" s="79" t="s">
        <v>516</v>
      </c>
      <c r="C102" s="68"/>
      <c r="D102" s="365" t="s">
        <v>517</v>
      </c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7"/>
      <c r="Y102" s="203"/>
    </row>
    <row r="103" spans="2:25" ht="48" x14ac:dyDescent="0.25">
      <c r="B103" s="59" t="s">
        <v>518</v>
      </c>
      <c r="C103" s="41"/>
      <c r="D103" s="43" t="s">
        <v>519</v>
      </c>
      <c r="E103" s="54" t="s">
        <v>294</v>
      </c>
      <c r="F103" s="55" t="s">
        <v>520</v>
      </c>
      <c r="G103" s="55" t="s">
        <v>521</v>
      </c>
      <c r="H103" s="55" t="s">
        <v>706</v>
      </c>
      <c r="I103" s="55" t="s">
        <v>298</v>
      </c>
      <c r="J103" s="55"/>
      <c r="K103" s="45">
        <f>M103+O103+Q103+S103+U103+W103</f>
        <v>169733.46</v>
      </c>
      <c r="L103" s="45">
        <f t="shared" ref="L103:L106" si="17">N103+P103+R103+T103+V103+X103</f>
        <v>169733.46</v>
      </c>
      <c r="M103" s="45">
        <v>25460.02</v>
      </c>
      <c r="N103" s="45">
        <v>25460.02</v>
      </c>
      <c r="O103" s="45"/>
      <c r="P103" s="45"/>
      <c r="Q103" s="45"/>
      <c r="R103" s="45"/>
      <c r="S103" s="45"/>
      <c r="T103" s="45"/>
      <c r="U103" s="45">
        <v>144273.44</v>
      </c>
      <c r="V103" s="45">
        <v>144273.44</v>
      </c>
      <c r="W103" s="67"/>
      <c r="X103" s="67"/>
      <c r="Y103" s="203">
        <f>'4 lentelė'!S102</f>
        <v>42845</v>
      </c>
    </row>
    <row r="104" spans="2:25" ht="36" x14ac:dyDescent="0.25">
      <c r="B104" s="59" t="s">
        <v>528</v>
      </c>
      <c r="C104" s="41"/>
      <c r="D104" s="43" t="s">
        <v>529</v>
      </c>
      <c r="E104" s="54" t="s">
        <v>308</v>
      </c>
      <c r="F104" s="55" t="s">
        <v>520</v>
      </c>
      <c r="G104" s="55" t="s">
        <v>349</v>
      </c>
      <c r="H104" s="55" t="s">
        <v>706</v>
      </c>
      <c r="I104" s="55" t="s">
        <v>298</v>
      </c>
      <c r="J104" s="55"/>
      <c r="K104" s="45">
        <f>M104+O104+Q104+S104+U104+W104</f>
        <v>65250</v>
      </c>
      <c r="L104" s="45">
        <f t="shared" si="17"/>
        <v>77916.53</v>
      </c>
      <c r="M104" s="45">
        <v>9788</v>
      </c>
      <c r="N104" s="45">
        <v>22454.53</v>
      </c>
      <c r="O104" s="45"/>
      <c r="P104" s="45"/>
      <c r="Q104" s="45"/>
      <c r="R104" s="45"/>
      <c r="S104" s="45"/>
      <c r="T104" s="45"/>
      <c r="U104" s="45">
        <v>55462</v>
      </c>
      <c r="V104" s="45">
        <v>55462</v>
      </c>
      <c r="W104" s="67"/>
      <c r="X104" s="67"/>
      <c r="Y104" s="203">
        <f>'4 lentelė'!S103</f>
        <v>42853</v>
      </c>
    </row>
    <row r="105" spans="2:25" ht="36" x14ac:dyDescent="0.25">
      <c r="B105" s="59" t="s">
        <v>530</v>
      </c>
      <c r="C105" s="41"/>
      <c r="D105" s="43" t="s">
        <v>531</v>
      </c>
      <c r="E105" s="54" t="s">
        <v>328</v>
      </c>
      <c r="F105" s="55" t="s">
        <v>520</v>
      </c>
      <c r="G105" s="55" t="s">
        <v>426</v>
      </c>
      <c r="H105" s="55" t="s">
        <v>706</v>
      </c>
      <c r="I105" s="55" t="s">
        <v>298</v>
      </c>
      <c r="J105" s="55"/>
      <c r="K105" s="45">
        <f>M105+O105+Q105+S105+U105+W105</f>
        <v>191806.42</v>
      </c>
      <c r="L105" s="45">
        <f t="shared" si="17"/>
        <v>191806.42</v>
      </c>
      <c r="M105" s="45">
        <v>28770.97</v>
      </c>
      <c r="N105" s="45">
        <v>28770.97</v>
      </c>
      <c r="O105" s="45"/>
      <c r="P105" s="45"/>
      <c r="Q105" s="45"/>
      <c r="R105" s="45"/>
      <c r="S105" s="45"/>
      <c r="T105" s="45"/>
      <c r="U105" s="45">
        <v>163035.45000000001</v>
      </c>
      <c r="V105" s="45">
        <v>163035.45000000001</v>
      </c>
      <c r="W105" s="67"/>
      <c r="X105" s="67"/>
      <c r="Y105" s="203">
        <f>'4 lentelė'!S104</f>
        <v>42839</v>
      </c>
    </row>
    <row r="106" spans="2:25" ht="36" x14ac:dyDescent="0.25">
      <c r="B106" s="59" t="s">
        <v>532</v>
      </c>
      <c r="C106" s="41"/>
      <c r="D106" s="43" t="s">
        <v>533</v>
      </c>
      <c r="E106" s="54" t="s">
        <v>534</v>
      </c>
      <c r="F106" s="55" t="s">
        <v>520</v>
      </c>
      <c r="G106" s="55" t="s">
        <v>390</v>
      </c>
      <c r="H106" s="55" t="s">
        <v>706</v>
      </c>
      <c r="I106" s="55" t="s">
        <v>298</v>
      </c>
      <c r="J106" s="55"/>
      <c r="K106" s="45">
        <f>M106+O106+Q106+S106+U106+W106</f>
        <v>905836.09</v>
      </c>
      <c r="L106" s="45">
        <f t="shared" si="17"/>
        <v>416817.53</v>
      </c>
      <c r="M106" s="45">
        <v>680455.98</v>
      </c>
      <c r="N106" s="45">
        <v>191437.42</v>
      </c>
      <c r="O106" s="45"/>
      <c r="P106" s="45"/>
      <c r="Q106" s="45"/>
      <c r="R106" s="45"/>
      <c r="S106" s="45"/>
      <c r="T106" s="45"/>
      <c r="U106" s="45">
        <v>225380.11</v>
      </c>
      <c r="V106" s="45">
        <v>225380.11</v>
      </c>
      <c r="W106" s="67"/>
      <c r="X106" s="67"/>
      <c r="Y106" s="203">
        <f>'4 lentelė'!S105</f>
        <v>42902</v>
      </c>
    </row>
    <row r="107" spans="2:25" x14ac:dyDescent="0.25">
      <c r="B107" s="79" t="s">
        <v>535</v>
      </c>
      <c r="C107" s="68"/>
      <c r="D107" s="365" t="s">
        <v>536</v>
      </c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7"/>
      <c r="Y107" s="203"/>
    </row>
    <row r="108" spans="2:25" ht="36" x14ac:dyDescent="0.25">
      <c r="B108" s="59" t="s">
        <v>537</v>
      </c>
      <c r="C108" s="41"/>
      <c r="D108" s="111" t="s">
        <v>538</v>
      </c>
      <c r="E108" s="54" t="s">
        <v>294</v>
      </c>
      <c r="F108" s="55" t="s">
        <v>520</v>
      </c>
      <c r="G108" s="55" t="s">
        <v>539</v>
      </c>
      <c r="H108" s="55" t="s">
        <v>540</v>
      </c>
      <c r="I108" s="55" t="s">
        <v>298</v>
      </c>
      <c r="J108" s="55"/>
      <c r="K108" s="45">
        <f>M108+O108+Q108+S108+U108+W108</f>
        <v>557789.41</v>
      </c>
      <c r="L108" s="45">
        <f t="shared" ref="L108:L111" si="18">N108+P108+R108+T108+V108+X108</f>
        <v>557789.41</v>
      </c>
      <c r="M108" s="45">
        <v>83668.41</v>
      </c>
      <c r="N108" s="45">
        <v>83669.41</v>
      </c>
      <c r="O108" s="64"/>
      <c r="P108" s="64"/>
      <c r="Q108" s="45"/>
      <c r="R108" s="45"/>
      <c r="S108" s="45"/>
      <c r="T108" s="45"/>
      <c r="U108" s="45">
        <v>474121</v>
      </c>
      <c r="V108" s="45">
        <v>474120</v>
      </c>
      <c r="W108" s="67"/>
      <c r="X108" s="118"/>
      <c r="Y108" s="203">
        <f>'4 lentelė'!S107</f>
        <v>42614</v>
      </c>
    </row>
    <row r="109" spans="2:25" ht="24" x14ac:dyDescent="0.25">
      <c r="B109" s="59" t="s">
        <v>543</v>
      </c>
      <c r="C109" s="41"/>
      <c r="D109" s="111" t="s">
        <v>544</v>
      </c>
      <c r="E109" s="54" t="s">
        <v>308</v>
      </c>
      <c r="F109" s="55" t="s">
        <v>520</v>
      </c>
      <c r="G109" s="55" t="s">
        <v>545</v>
      </c>
      <c r="H109" s="55" t="s">
        <v>540</v>
      </c>
      <c r="I109" s="55" t="s">
        <v>298</v>
      </c>
      <c r="J109" s="55"/>
      <c r="K109" s="45">
        <f>M109+O109+Q109+S109+U109+W109</f>
        <v>203981.18</v>
      </c>
      <c r="L109" s="45">
        <f t="shared" si="18"/>
        <v>203981</v>
      </c>
      <c r="M109" s="45">
        <v>30597.18</v>
      </c>
      <c r="N109" s="45">
        <v>30597.15</v>
      </c>
      <c r="O109" s="64"/>
      <c r="P109" s="64"/>
      <c r="Q109" s="45"/>
      <c r="R109" s="45"/>
      <c r="S109" s="45"/>
      <c r="T109" s="45"/>
      <c r="U109" s="45">
        <v>173384</v>
      </c>
      <c r="V109" s="45">
        <v>173383.85</v>
      </c>
      <c r="W109" s="67"/>
      <c r="X109" s="118"/>
      <c r="Y109" s="203">
        <f>'4 lentelė'!S108</f>
        <v>42615</v>
      </c>
    </row>
    <row r="110" spans="2:25" ht="24" x14ac:dyDescent="0.25">
      <c r="B110" s="59" t="s">
        <v>546</v>
      </c>
      <c r="C110" s="41"/>
      <c r="D110" s="111" t="s">
        <v>547</v>
      </c>
      <c r="E110" s="54" t="s">
        <v>328</v>
      </c>
      <c r="F110" s="55" t="s">
        <v>520</v>
      </c>
      <c r="G110" s="55" t="s">
        <v>356</v>
      </c>
      <c r="H110" s="55" t="s">
        <v>540</v>
      </c>
      <c r="I110" s="55" t="s">
        <v>298</v>
      </c>
      <c r="J110" s="55"/>
      <c r="K110" s="45">
        <f>M110+O110+Q110+S110+U110+W110</f>
        <v>297848.24</v>
      </c>
      <c r="L110" s="45">
        <f t="shared" si="18"/>
        <v>297849</v>
      </c>
      <c r="M110" s="45">
        <v>44677.24</v>
      </c>
      <c r="N110" s="45">
        <v>44678</v>
      </c>
      <c r="O110" s="64"/>
      <c r="P110" s="64"/>
      <c r="Q110" s="45"/>
      <c r="R110" s="45"/>
      <c r="S110" s="45"/>
      <c r="T110" s="45"/>
      <c r="U110" s="45">
        <v>253171</v>
      </c>
      <c r="V110" s="45">
        <v>253171</v>
      </c>
      <c r="W110" s="67"/>
      <c r="X110" s="118"/>
      <c r="Y110" s="203">
        <f>'4 lentelė'!S109</f>
        <v>42607</v>
      </c>
    </row>
    <row r="111" spans="2:25" ht="24" x14ac:dyDescent="0.25">
      <c r="B111" s="59" t="s">
        <v>549</v>
      </c>
      <c r="C111" s="41"/>
      <c r="D111" s="111" t="s">
        <v>550</v>
      </c>
      <c r="E111" s="54" t="s">
        <v>304</v>
      </c>
      <c r="F111" s="55" t="s">
        <v>520</v>
      </c>
      <c r="G111" s="55" t="s">
        <v>390</v>
      </c>
      <c r="H111" s="55" t="s">
        <v>540</v>
      </c>
      <c r="I111" s="55" t="s">
        <v>298</v>
      </c>
      <c r="J111" s="55"/>
      <c r="K111" s="45">
        <f>M111+O111+Q111+S111+U111+W111</f>
        <v>1467581.1764705882</v>
      </c>
      <c r="L111" s="45">
        <f t="shared" si="18"/>
        <v>1467582</v>
      </c>
      <c r="M111" s="45">
        <v>220137.17647058822</v>
      </c>
      <c r="N111" s="45">
        <v>220138</v>
      </c>
      <c r="O111" s="64"/>
      <c r="P111" s="64"/>
      <c r="Q111" s="45"/>
      <c r="R111" s="45"/>
      <c r="S111" s="45"/>
      <c r="T111" s="45"/>
      <c r="U111" s="45">
        <v>1247444</v>
      </c>
      <c r="V111" s="45">
        <v>1247444</v>
      </c>
      <c r="W111" s="67"/>
      <c r="X111" s="118"/>
      <c r="Y111" s="203">
        <f>'4 lentelė'!S110</f>
        <v>42643</v>
      </c>
    </row>
    <row r="112" spans="2:25" ht="15" customHeight="1" x14ac:dyDescent="0.25">
      <c r="B112" s="69" t="s">
        <v>669</v>
      </c>
      <c r="C112" s="70"/>
      <c r="D112" s="407" t="s">
        <v>552</v>
      </c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9"/>
      <c r="Y112" s="203"/>
    </row>
    <row r="113" spans="2:25" ht="15" customHeight="1" x14ac:dyDescent="0.25">
      <c r="B113" s="69" t="s">
        <v>670</v>
      </c>
      <c r="C113" s="70"/>
      <c r="D113" s="407" t="s">
        <v>553</v>
      </c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9"/>
      <c r="Y113" s="203"/>
    </row>
    <row r="114" spans="2:25" ht="15" customHeight="1" x14ac:dyDescent="0.25">
      <c r="B114" s="79" t="s">
        <v>554</v>
      </c>
      <c r="C114" s="68"/>
      <c r="D114" s="410" t="s">
        <v>555</v>
      </c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1"/>
      <c r="X114" s="412"/>
      <c r="Y114" s="203"/>
    </row>
    <row r="115" spans="2:25" ht="36" x14ac:dyDescent="0.25">
      <c r="B115" s="59" t="s">
        <v>556</v>
      </c>
      <c r="C115" s="41"/>
      <c r="D115" s="43" t="s">
        <v>557</v>
      </c>
      <c r="E115" s="54" t="s">
        <v>308</v>
      </c>
      <c r="F115" s="55" t="s">
        <v>295</v>
      </c>
      <c r="G115" s="55" t="s">
        <v>433</v>
      </c>
      <c r="H115" s="55" t="s">
        <v>558</v>
      </c>
      <c r="I115" s="55" t="s">
        <v>298</v>
      </c>
      <c r="J115" s="55"/>
      <c r="K115" s="45">
        <f>M115+O115+Q115+S115+U115+W115</f>
        <v>510000</v>
      </c>
      <c r="L115" s="45">
        <f t="shared" ref="L115:L116" si="19">N115+P115+R115+T115+V115+X115</f>
        <v>502569.92</v>
      </c>
      <c r="M115" s="73">
        <v>76500</v>
      </c>
      <c r="N115" s="73">
        <v>75385.490000000005</v>
      </c>
      <c r="O115" s="67"/>
      <c r="P115" s="67"/>
      <c r="Q115" s="49"/>
      <c r="R115" s="49"/>
      <c r="S115" s="49"/>
      <c r="T115" s="49"/>
      <c r="U115" s="49">
        <v>433500</v>
      </c>
      <c r="V115" s="49">
        <v>427184.43</v>
      </c>
      <c r="W115" s="67"/>
      <c r="X115" s="67"/>
      <c r="Y115" s="203">
        <f>'4 lentelė'!S114</f>
        <v>43200</v>
      </c>
    </row>
    <row r="116" spans="2:25" ht="36" x14ac:dyDescent="0.25">
      <c r="B116" s="59" t="s">
        <v>563</v>
      </c>
      <c r="C116" s="41"/>
      <c r="D116" s="43" t="s">
        <v>564</v>
      </c>
      <c r="E116" s="54" t="s">
        <v>308</v>
      </c>
      <c r="F116" s="55" t="s">
        <v>295</v>
      </c>
      <c r="G116" s="55" t="s">
        <v>433</v>
      </c>
      <c r="H116" s="55" t="s">
        <v>558</v>
      </c>
      <c r="I116" s="55" t="s">
        <v>298</v>
      </c>
      <c r="J116" s="55"/>
      <c r="K116" s="45">
        <f>M116+O116+Q116+S116+U116+W116</f>
        <v>421508</v>
      </c>
      <c r="L116" s="45">
        <f t="shared" si="19"/>
        <v>0</v>
      </c>
      <c r="M116" s="73">
        <v>63227</v>
      </c>
      <c r="N116" s="73"/>
      <c r="O116" s="73"/>
      <c r="P116" s="73"/>
      <c r="Q116" s="49"/>
      <c r="R116" s="49"/>
      <c r="S116" s="49"/>
      <c r="T116" s="49"/>
      <c r="U116" s="49">
        <v>358281</v>
      </c>
      <c r="V116" s="49"/>
      <c r="W116" s="67"/>
      <c r="X116" s="67"/>
      <c r="Y116" s="203">
        <f>'4 lentelė'!S115</f>
        <v>0</v>
      </c>
    </row>
    <row r="117" spans="2:25" ht="15" customHeight="1" x14ac:dyDescent="0.25">
      <c r="B117" s="69" t="s">
        <v>671</v>
      </c>
      <c r="C117" s="70"/>
      <c r="D117" s="407" t="s">
        <v>661</v>
      </c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408"/>
      <c r="U117" s="408"/>
      <c r="V117" s="408"/>
      <c r="W117" s="408"/>
      <c r="X117" s="409"/>
      <c r="Y117" s="203"/>
    </row>
    <row r="118" spans="2:25" ht="15" customHeight="1" x14ac:dyDescent="0.25">
      <c r="B118" s="69" t="s">
        <v>672</v>
      </c>
      <c r="C118" s="70"/>
      <c r="D118" s="407" t="s">
        <v>567</v>
      </c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9"/>
      <c r="Y118" s="203"/>
    </row>
    <row r="119" spans="2:25" ht="15" customHeight="1" x14ac:dyDescent="0.25">
      <c r="B119" s="69" t="s">
        <v>673</v>
      </c>
      <c r="C119" s="70"/>
      <c r="D119" s="407" t="s">
        <v>568</v>
      </c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8"/>
      <c r="X119" s="409"/>
      <c r="Y119" s="203"/>
    </row>
    <row r="120" spans="2:25" ht="15" customHeight="1" x14ac:dyDescent="0.25">
      <c r="B120" s="79" t="s">
        <v>569</v>
      </c>
      <c r="C120" s="68"/>
      <c r="D120" s="410" t="s">
        <v>570</v>
      </c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411"/>
      <c r="W120" s="411"/>
      <c r="X120" s="412"/>
      <c r="Y120" s="203"/>
    </row>
    <row r="121" spans="2:25" ht="36" x14ac:dyDescent="0.25">
      <c r="B121" s="59" t="s">
        <v>571</v>
      </c>
      <c r="C121" s="41"/>
      <c r="D121" s="111" t="s">
        <v>572</v>
      </c>
      <c r="E121" s="54" t="s">
        <v>573</v>
      </c>
      <c r="F121" s="55" t="s">
        <v>574</v>
      </c>
      <c r="G121" s="55" t="s">
        <v>575</v>
      </c>
      <c r="H121" s="55" t="s">
        <v>576</v>
      </c>
      <c r="I121" s="55" t="s">
        <v>298</v>
      </c>
      <c r="J121" s="55"/>
      <c r="K121" s="45">
        <f t="shared" ref="K121:K128" si="20">M121+O121+Q121+S121+U121+W121</f>
        <v>1538175.43</v>
      </c>
      <c r="L121" s="45">
        <f t="shared" ref="L121:L130" si="21">N121+P121+R121+T121+V121+X121</f>
        <v>921084.34</v>
      </c>
      <c r="M121" s="45">
        <v>350264.18</v>
      </c>
      <c r="N121" s="45">
        <v>217313.22</v>
      </c>
      <c r="O121" s="45"/>
      <c r="P121" s="45"/>
      <c r="Q121" s="45"/>
      <c r="R121" s="45"/>
      <c r="S121" s="45"/>
      <c r="T121" s="45"/>
      <c r="U121" s="45">
        <v>1187911.25</v>
      </c>
      <c r="V121" s="45">
        <v>703771.12</v>
      </c>
      <c r="W121" s="67"/>
      <c r="X121" s="118"/>
      <c r="Y121" s="203">
        <f>'4 lentelė'!S120</f>
        <v>42719</v>
      </c>
    </row>
    <row r="122" spans="2:25" ht="48" x14ac:dyDescent="0.25">
      <c r="B122" s="59" t="s">
        <v>584</v>
      </c>
      <c r="C122" s="41"/>
      <c r="D122" s="111" t="s">
        <v>585</v>
      </c>
      <c r="E122" s="53" t="s">
        <v>586</v>
      </c>
      <c r="F122" s="53" t="s">
        <v>574</v>
      </c>
      <c r="G122" s="53" t="s">
        <v>545</v>
      </c>
      <c r="H122" s="53" t="s">
        <v>576</v>
      </c>
      <c r="I122" s="53" t="s">
        <v>298</v>
      </c>
      <c r="J122" s="53"/>
      <c r="K122" s="45">
        <f t="shared" si="20"/>
        <v>617660.84</v>
      </c>
      <c r="L122" s="45">
        <f t="shared" si="21"/>
        <v>617660.84</v>
      </c>
      <c r="M122" s="49">
        <v>262385.8</v>
      </c>
      <c r="N122" s="49">
        <v>262385.8</v>
      </c>
      <c r="O122" s="45"/>
      <c r="P122" s="45"/>
      <c r="Q122" s="49"/>
      <c r="R122" s="49"/>
      <c r="S122" s="49"/>
      <c r="T122" s="49"/>
      <c r="U122" s="49">
        <v>355275.04</v>
      </c>
      <c r="V122" s="49">
        <v>355275.04</v>
      </c>
      <c r="W122" s="67"/>
      <c r="X122" s="118"/>
      <c r="Y122" s="203">
        <f>'4 lentelė'!S121</f>
        <v>42726</v>
      </c>
    </row>
    <row r="123" spans="2:25" ht="24" x14ac:dyDescent="0.25">
      <c r="B123" s="59" t="s">
        <v>589</v>
      </c>
      <c r="C123" s="41"/>
      <c r="D123" s="111" t="s">
        <v>590</v>
      </c>
      <c r="E123" s="53" t="s">
        <v>591</v>
      </c>
      <c r="F123" s="53" t="s">
        <v>574</v>
      </c>
      <c r="G123" s="53" t="s">
        <v>426</v>
      </c>
      <c r="H123" s="53" t="s">
        <v>576</v>
      </c>
      <c r="I123" s="53" t="s">
        <v>298</v>
      </c>
      <c r="J123" s="53"/>
      <c r="K123" s="45">
        <f t="shared" si="20"/>
        <v>1902679.07</v>
      </c>
      <c r="L123" s="45">
        <f t="shared" si="21"/>
        <v>1902679.07</v>
      </c>
      <c r="M123" s="49">
        <v>743921.52</v>
      </c>
      <c r="N123" s="49">
        <v>743921.52</v>
      </c>
      <c r="O123" s="45"/>
      <c r="P123" s="45"/>
      <c r="Q123" s="49"/>
      <c r="R123" s="49"/>
      <c r="S123" s="49"/>
      <c r="T123" s="49"/>
      <c r="U123" s="49">
        <v>1158757.55</v>
      </c>
      <c r="V123" s="49">
        <v>1158757.55</v>
      </c>
      <c r="W123" s="67"/>
      <c r="X123" s="118"/>
      <c r="Y123" s="203">
        <f>'4 lentelė'!S122</f>
        <v>42853</v>
      </c>
    </row>
    <row r="124" spans="2:25" ht="36" x14ac:dyDescent="0.25">
      <c r="B124" s="59" t="s">
        <v>594</v>
      </c>
      <c r="C124" s="41"/>
      <c r="D124" s="111" t="s">
        <v>595</v>
      </c>
      <c r="E124" s="53" t="s">
        <v>596</v>
      </c>
      <c r="F124" s="53" t="s">
        <v>574</v>
      </c>
      <c r="G124" s="53" t="s">
        <v>390</v>
      </c>
      <c r="H124" s="53" t="s">
        <v>576</v>
      </c>
      <c r="I124" s="53" t="s">
        <v>298</v>
      </c>
      <c r="J124" s="53"/>
      <c r="K124" s="45">
        <f t="shared" si="20"/>
        <v>2854494.11</v>
      </c>
      <c r="L124" s="45">
        <f t="shared" si="21"/>
        <v>2854494.11</v>
      </c>
      <c r="M124" s="49">
        <v>603558.57999999996</v>
      </c>
      <c r="N124" s="49">
        <v>603558.57999999996</v>
      </c>
      <c r="O124" s="45"/>
      <c r="P124" s="45"/>
      <c r="Q124" s="49">
        <v>603558.57999999996</v>
      </c>
      <c r="R124" s="49">
        <v>603558.57999999996</v>
      </c>
      <c r="S124" s="49"/>
      <c r="T124" s="49"/>
      <c r="U124" s="49">
        <v>1647376.95</v>
      </c>
      <c r="V124" s="49">
        <v>1647376.95</v>
      </c>
      <c r="W124" s="67"/>
      <c r="X124" s="118"/>
      <c r="Y124" s="203">
        <f>'4 lentelė'!S123</f>
        <v>42877</v>
      </c>
    </row>
    <row r="125" spans="2:25" ht="36" x14ac:dyDescent="0.25">
      <c r="B125" s="92" t="s">
        <v>598</v>
      </c>
      <c r="C125" s="93"/>
      <c r="D125" s="47" t="s">
        <v>599</v>
      </c>
      <c r="E125" s="53" t="s">
        <v>573</v>
      </c>
      <c r="F125" s="53" t="s">
        <v>574</v>
      </c>
      <c r="G125" s="53" t="s">
        <v>575</v>
      </c>
      <c r="H125" s="53" t="s">
        <v>576</v>
      </c>
      <c r="I125" s="53" t="s">
        <v>298</v>
      </c>
      <c r="J125" s="119"/>
      <c r="K125" s="45">
        <f t="shared" si="20"/>
        <v>444870</v>
      </c>
      <c r="L125" s="45">
        <v>444868.24</v>
      </c>
      <c r="M125" s="49">
        <v>320131.20000000001</v>
      </c>
      <c r="N125" s="49">
        <v>297760.83</v>
      </c>
      <c r="O125" s="45"/>
      <c r="P125" s="45"/>
      <c r="Q125" s="49"/>
      <c r="R125" s="49"/>
      <c r="S125" s="49"/>
      <c r="T125" s="49"/>
      <c r="U125" s="49">
        <v>124738.8</v>
      </c>
      <c r="V125" s="49">
        <v>147107.41</v>
      </c>
      <c r="W125" s="67"/>
      <c r="X125" s="67"/>
      <c r="Y125" s="203">
        <f>'4 lentelė'!S124</f>
        <v>43342</v>
      </c>
    </row>
    <row r="126" spans="2:25" ht="24" x14ac:dyDescent="0.25">
      <c r="B126" s="92" t="s">
        <v>600</v>
      </c>
      <c r="C126" s="93"/>
      <c r="D126" s="47" t="s">
        <v>601</v>
      </c>
      <c r="E126" s="53" t="s">
        <v>586</v>
      </c>
      <c r="F126" s="53" t="s">
        <v>574</v>
      </c>
      <c r="G126" s="53" t="s">
        <v>545</v>
      </c>
      <c r="H126" s="53" t="s">
        <v>576</v>
      </c>
      <c r="I126" s="53" t="s">
        <v>298</v>
      </c>
      <c r="J126" s="119"/>
      <c r="K126" s="45">
        <f t="shared" si="20"/>
        <v>136161.48000000001</v>
      </c>
      <c r="L126" s="45">
        <v>136161.48000000001</v>
      </c>
      <c r="M126" s="49">
        <v>29723.21</v>
      </c>
      <c r="N126" s="49">
        <v>29723.21</v>
      </c>
      <c r="O126" s="45"/>
      <c r="P126" s="45"/>
      <c r="Q126" s="49"/>
      <c r="R126" s="49"/>
      <c r="S126" s="49"/>
      <c r="T126" s="49"/>
      <c r="U126" s="49">
        <v>106438.27</v>
      </c>
      <c r="V126" s="49">
        <v>106438.27</v>
      </c>
      <c r="W126" s="67"/>
      <c r="X126" s="67"/>
      <c r="Y126" s="203">
        <f>'4 lentelė'!S125</f>
        <v>43332</v>
      </c>
    </row>
    <row r="127" spans="2:25" ht="24" x14ac:dyDescent="0.25">
      <c r="B127" s="92" t="s">
        <v>602</v>
      </c>
      <c r="C127" s="93"/>
      <c r="D127" s="47" t="s">
        <v>603</v>
      </c>
      <c r="E127" s="53" t="s">
        <v>591</v>
      </c>
      <c r="F127" s="53" t="s">
        <v>574</v>
      </c>
      <c r="G127" s="53" t="s">
        <v>426</v>
      </c>
      <c r="H127" s="53" t="s">
        <v>576</v>
      </c>
      <c r="I127" s="53" t="s">
        <v>298</v>
      </c>
      <c r="J127" s="119"/>
      <c r="K127" s="45">
        <f t="shared" si="20"/>
        <v>548947.86</v>
      </c>
      <c r="L127" s="45">
        <f t="shared" si="21"/>
        <v>0</v>
      </c>
      <c r="M127" s="49">
        <v>274473.93</v>
      </c>
      <c r="N127" s="49"/>
      <c r="O127" s="45"/>
      <c r="P127" s="45"/>
      <c r="Q127" s="49"/>
      <c r="R127" s="49"/>
      <c r="S127" s="49"/>
      <c r="T127" s="49"/>
      <c r="U127" s="49">
        <v>274473.93</v>
      </c>
      <c r="V127" s="49"/>
      <c r="W127" s="67"/>
      <c r="X127" s="67"/>
      <c r="Y127" s="203">
        <f>'4 lentelė'!S126</f>
        <v>0</v>
      </c>
    </row>
    <row r="128" spans="2:25" ht="36" x14ac:dyDescent="0.25">
      <c r="B128" s="92" t="s">
        <v>604</v>
      </c>
      <c r="C128" s="93"/>
      <c r="D128" s="47" t="s">
        <v>605</v>
      </c>
      <c r="E128" s="53" t="s">
        <v>596</v>
      </c>
      <c r="F128" s="53" t="s">
        <v>574</v>
      </c>
      <c r="G128" s="53" t="s">
        <v>320</v>
      </c>
      <c r="H128" s="53" t="s">
        <v>576</v>
      </c>
      <c r="I128" s="53" t="s">
        <v>298</v>
      </c>
      <c r="J128" s="119"/>
      <c r="K128" s="45">
        <f t="shared" si="20"/>
        <v>646255.83000000007</v>
      </c>
      <c r="L128" s="45">
        <f t="shared" si="21"/>
        <v>0</v>
      </c>
      <c r="M128" s="91">
        <v>150423.45000000001</v>
      </c>
      <c r="N128" s="49"/>
      <c r="O128" s="45"/>
      <c r="P128" s="45"/>
      <c r="Q128" s="91">
        <v>150423.45000000001</v>
      </c>
      <c r="R128" s="49"/>
      <c r="S128" s="49"/>
      <c r="T128" s="49"/>
      <c r="U128" s="91">
        <v>345408.93</v>
      </c>
      <c r="V128" s="49"/>
      <c r="W128" s="67"/>
      <c r="X128" s="67"/>
      <c r="Y128" s="203">
        <f>'4 lentelė'!S127</f>
        <v>0</v>
      </c>
    </row>
    <row r="129" spans="2:25" ht="15" customHeight="1" x14ac:dyDescent="0.25">
      <c r="B129" s="79" t="s">
        <v>606</v>
      </c>
      <c r="C129" s="68"/>
      <c r="D129" s="410" t="s">
        <v>607</v>
      </c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2"/>
      <c r="Y129" s="203"/>
    </row>
    <row r="130" spans="2:25" ht="24" x14ac:dyDescent="0.25">
      <c r="B130" s="59" t="s">
        <v>608</v>
      </c>
      <c r="C130" s="41"/>
      <c r="D130" s="111" t="s">
        <v>609</v>
      </c>
      <c r="E130" s="54" t="s">
        <v>596</v>
      </c>
      <c r="F130" s="55" t="s">
        <v>574</v>
      </c>
      <c r="G130" s="55" t="s">
        <v>390</v>
      </c>
      <c r="H130" s="55" t="s">
        <v>610</v>
      </c>
      <c r="I130" s="55" t="s">
        <v>298</v>
      </c>
      <c r="J130" s="55"/>
      <c r="K130" s="45">
        <f>M130+O130+Q130+S130+U130+W130</f>
        <v>1681106.52</v>
      </c>
      <c r="L130" s="45">
        <f t="shared" si="21"/>
        <v>1439067.07</v>
      </c>
      <c r="M130" s="45">
        <v>252165.98</v>
      </c>
      <c r="N130" s="45">
        <v>529849.65</v>
      </c>
      <c r="O130" s="45"/>
      <c r="P130" s="45"/>
      <c r="Q130" s="45"/>
      <c r="R130" s="45"/>
      <c r="S130" s="45"/>
      <c r="T130" s="45"/>
      <c r="U130" s="45">
        <v>1428940.54</v>
      </c>
      <c r="V130" s="45">
        <v>909217.42</v>
      </c>
      <c r="W130" s="67"/>
      <c r="X130" s="118"/>
      <c r="Y130" s="203">
        <f>'4 lentelė'!S129</f>
        <v>42810</v>
      </c>
    </row>
    <row r="131" spans="2:25" ht="15" customHeight="1" x14ac:dyDescent="0.25">
      <c r="B131" s="69" t="s">
        <v>674</v>
      </c>
      <c r="C131" s="70"/>
      <c r="D131" s="407" t="s">
        <v>615</v>
      </c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8"/>
      <c r="R131" s="408"/>
      <c r="S131" s="408"/>
      <c r="T131" s="408"/>
      <c r="U131" s="408"/>
      <c r="V131" s="408"/>
      <c r="W131" s="408"/>
      <c r="X131" s="409"/>
      <c r="Y131" s="203"/>
    </row>
    <row r="132" spans="2:25" ht="15" customHeight="1" x14ac:dyDescent="0.25">
      <c r="B132" s="79" t="s">
        <v>616</v>
      </c>
      <c r="C132" s="68"/>
      <c r="D132" s="410" t="s">
        <v>617</v>
      </c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2"/>
      <c r="Y132" s="203"/>
    </row>
    <row r="133" spans="2:25" ht="24" x14ac:dyDescent="0.25">
      <c r="B133" s="59" t="s">
        <v>618</v>
      </c>
      <c r="C133" s="41"/>
      <c r="D133" s="111" t="s">
        <v>619</v>
      </c>
      <c r="E133" s="54" t="s">
        <v>620</v>
      </c>
      <c r="F133" s="55" t="s">
        <v>574</v>
      </c>
      <c r="G133" s="55" t="s">
        <v>433</v>
      </c>
      <c r="H133" s="55" t="s">
        <v>621</v>
      </c>
      <c r="I133" s="55" t="s">
        <v>298</v>
      </c>
      <c r="J133" s="55"/>
      <c r="K133" s="45">
        <f>M133+O133+Q133+S133+U133+W133</f>
        <v>2800256.02</v>
      </c>
      <c r="L133" s="45">
        <f t="shared" ref="L133" si="22">N133+P133+R133+T133+V133+X133</f>
        <v>2800256.02</v>
      </c>
      <c r="M133" s="45"/>
      <c r="N133" s="16"/>
      <c r="O133" s="45"/>
      <c r="P133" s="45"/>
      <c r="Q133" s="45"/>
      <c r="R133" s="45"/>
      <c r="S133" s="45">
        <v>420038.40000000002</v>
      </c>
      <c r="T133" s="45">
        <v>420038.40000000002</v>
      </c>
      <c r="U133" s="45">
        <v>2380217.62</v>
      </c>
      <c r="V133" s="45">
        <v>2380217.62</v>
      </c>
      <c r="W133" s="67"/>
      <c r="X133" s="118"/>
      <c r="Y133" s="203">
        <f>'4 lentelė'!S132</f>
        <v>42999</v>
      </c>
    </row>
    <row r="134" spans="2:25" ht="15" customHeight="1" x14ac:dyDescent="0.25">
      <c r="B134" s="69" t="s">
        <v>675</v>
      </c>
      <c r="C134" s="70"/>
      <c r="D134" s="407" t="s">
        <v>624</v>
      </c>
      <c r="E134" s="408"/>
      <c r="F134" s="408"/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  <c r="Q134" s="408"/>
      <c r="R134" s="408"/>
      <c r="S134" s="408"/>
      <c r="T134" s="408"/>
      <c r="U134" s="408"/>
      <c r="V134" s="408"/>
      <c r="W134" s="408"/>
      <c r="X134" s="409"/>
      <c r="Y134" s="203"/>
    </row>
    <row r="135" spans="2:25" ht="15" customHeight="1" x14ac:dyDescent="0.25">
      <c r="B135" s="69" t="s">
        <v>676</v>
      </c>
      <c r="C135" s="70"/>
      <c r="D135" s="407" t="s">
        <v>625</v>
      </c>
      <c r="E135" s="408"/>
      <c r="F135" s="408"/>
      <c r="G135" s="408"/>
      <c r="H135" s="408"/>
      <c r="I135" s="408"/>
      <c r="J135" s="408"/>
      <c r="K135" s="408"/>
      <c r="L135" s="408"/>
      <c r="M135" s="408"/>
      <c r="N135" s="408"/>
      <c r="O135" s="408"/>
      <c r="P135" s="408"/>
      <c r="Q135" s="408"/>
      <c r="R135" s="408"/>
      <c r="S135" s="408"/>
      <c r="T135" s="408"/>
      <c r="U135" s="408"/>
      <c r="V135" s="408"/>
      <c r="W135" s="408"/>
      <c r="X135" s="409"/>
      <c r="Y135" s="203"/>
    </row>
    <row r="136" spans="2:25" x14ac:dyDescent="0.25">
      <c r="B136" s="79" t="s">
        <v>626</v>
      </c>
      <c r="C136" s="68"/>
      <c r="D136" s="410" t="s">
        <v>627</v>
      </c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411"/>
      <c r="W136" s="411"/>
      <c r="X136" s="412"/>
      <c r="Y136" s="203"/>
    </row>
    <row r="137" spans="2:25" ht="24" x14ac:dyDescent="0.25">
      <c r="B137" s="58" t="s">
        <v>628</v>
      </c>
      <c r="C137" s="41"/>
      <c r="D137" s="111" t="s">
        <v>629</v>
      </c>
      <c r="E137" s="53" t="s">
        <v>308</v>
      </c>
      <c r="F137" s="53" t="s">
        <v>574</v>
      </c>
      <c r="G137" s="53" t="s">
        <v>545</v>
      </c>
      <c r="H137" s="53" t="s">
        <v>630</v>
      </c>
      <c r="I137" s="53" t="s">
        <v>298</v>
      </c>
      <c r="J137" s="53"/>
      <c r="K137" s="45">
        <f t="shared" ref="K137:K143" si="23">M137+O137+Q137+S137+U137+W137</f>
        <v>363047.26</v>
      </c>
      <c r="L137" s="45">
        <f t="shared" ref="L137:L143" si="24">N137+P137+R137+T137+V137+X137</f>
        <v>363047.26</v>
      </c>
      <c r="M137" s="49">
        <v>54457.09</v>
      </c>
      <c r="N137" s="49">
        <v>54457.09</v>
      </c>
      <c r="O137" s="49"/>
      <c r="P137" s="49"/>
      <c r="Q137" s="49"/>
      <c r="R137" s="49"/>
      <c r="S137" s="49"/>
      <c r="T137" s="49"/>
      <c r="U137" s="49">
        <v>308590.17</v>
      </c>
      <c r="V137" s="49">
        <v>308590.17</v>
      </c>
      <c r="W137" s="67"/>
      <c r="X137" s="118"/>
      <c r="Y137" s="203">
        <f>'4 lentelė'!S136</f>
        <v>42878</v>
      </c>
    </row>
    <row r="138" spans="2:25" ht="24" x14ac:dyDescent="0.25">
      <c r="B138" s="58" t="s">
        <v>639</v>
      </c>
      <c r="C138" s="41"/>
      <c r="D138" s="111" t="s">
        <v>640</v>
      </c>
      <c r="E138" s="53" t="s">
        <v>328</v>
      </c>
      <c r="F138" s="53" t="s">
        <v>574</v>
      </c>
      <c r="G138" s="53" t="s">
        <v>426</v>
      </c>
      <c r="H138" s="53" t="s">
        <v>630</v>
      </c>
      <c r="I138" s="53" t="s">
        <v>298</v>
      </c>
      <c r="J138" s="53"/>
      <c r="K138" s="45">
        <f t="shared" si="23"/>
        <v>53554.71</v>
      </c>
      <c r="L138" s="45">
        <f t="shared" si="24"/>
        <v>53554.71</v>
      </c>
      <c r="M138" s="49">
        <v>8033.21</v>
      </c>
      <c r="N138" s="49">
        <v>8033.21</v>
      </c>
      <c r="O138" s="49"/>
      <c r="P138" s="49"/>
      <c r="Q138" s="49"/>
      <c r="R138" s="49"/>
      <c r="S138" s="49"/>
      <c r="T138" s="49"/>
      <c r="U138" s="49">
        <v>45521.5</v>
      </c>
      <c r="V138" s="49">
        <v>45521.5</v>
      </c>
      <c r="W138" s="67"/>
      <c r="X138" s="118"/>
      <c r="Y138" s="203">
        <f>'4 lentelė'!S137</f>
        <v>42961</v>
      </c>
    </row>
    <row r="139" spans="2:25" ht="24" x14ac:dyDescent="0.25">
      <c r="B139" s="58" t="s">
        <v>641</v>
      </c>
      <c r="C139" s="41"/>
      <c r="D139" s="47" t="s">
        <v>642</v>
      </c>
      <c r="E139" s="53" t="s">
        <v>328</v>
      </c>
      <c r="F139" s="53" t="s">
        <v>574</v>
      </c>
      <c r="G139" s="53" t="s">
        <v>426</v>
      </c>
      <c r="H139" s="53" t="s">
        <v>630</v>
      </c>
      <c r="I139" s="53" t="s">
        <v>298</v>
      </c>
      <c r="J139" s="53"/>
      <c r="K139" s="45">
        <f t="shared" si="23"/>
        <v>920732.19</v>
      </c>
      <c r="L139" s="45">
        <f t="shared" si="24"/>
        <v>0</v>
      </c>
      <c r="M139" s="49">
        <v>138109.82</v>
      </c>
      <c r="N139" s="49"/>
      <c r="O139" s="49"/>
      <c r="P139" s="49"/>
      <c r="Q139" s="49"/>
      <c r="R139" s="49"/>
      <c r="S139" s="49"/>
      <c r="T139" s="49"/>
      <c r="U139" s="49">
        <v>782622.37</v>
      </c>
      <c r="V139" s="49"/>
      <c r="W139" s="67"/>
      <c r="X139" s="67"/>
      <c r="Y139" s="203">
        <f>'4 lentelė'!S138</f>
        <v>0</v>
      </c>
    </row>
    <row r="140" spans="2:25" ht="24" x14ac:dyDescent="0.25">
      <c r="B140" s="58" t="s">
        <v>645</v>
      </c>
      <c r="C140" s="41"/>
      <c r="D140" s="47" t="s">
        <v>646</v>
      </c>
      <c r="E140" s="53" t="s">
        <v>328</v>
      </c>
      <c r="F140" s="53" t="s">
        <v>574</v>
      </c>
      <c r="G140" s="53" t="s">
        <v>426</v>
      </c>
      <c r="H140" s="53" t="s">
        <v>630</v>
      </c>
      <c r="I140" s="53" t="s">
        <v>298</v>
      </c>
      <c r="J140" s="53" t="s">
        <v>647</v>
      </c>
      <c r="K140" s="45">
        <f t="shared" si="23"/>
        <v>296511.84999999998</v>
      </c>
      <c r="L140" s="45">
        <f t="shared" si="24"/>
        <v>0</v>
      </c>
      <c r="M140" s="49">
        <v>44476.78</v>
      </c>
      <c r="N140" s="49"/>
      <c r="O140" s="49"/>
      <c r="P140" s="49"/>
      <c r="Q140" s="49"/>
      <c r="R140" s="49"/>
      <c r="S140" s="49"/>
      <c r="T140" s="49"/>
      <c r="U140" s="49">
        <v>252035.07</v>
      </c>
      <c r="V140" s="49"/>
      <c r="W140" s="67"/>
      <c r="X140" s="67"/>
      <c r="Y140" s="203">
        <f>'4 lentelė'!S139</f>
        <v>0</v>
      </c>
    </row>
    <row r="141" spans="2:25" ht="24" x14ac:dyDescent="0.25">
      <c r="B141" s="58" t="s">
        <v>648</v>
      </c>
      <c r="C141" s="41"/>
      <c r="D141" s="111" t="s">
        <v>649</v>
      </c>
      <c r="E141" s="53" t="s">
        <v>304</v>
      </c>
      <c r="F141" s="53" t="s">
        <v>574</v>
      </c>
      <c r="G141" s="53" t="s">
        <v>390</v>
      </c>
      <c r="H141" s="53" t="s">
        <v>630</v>
      </c>
      <c r="I141" s="53" t="s">
        <v>298</v>
      </c>
      <c r="J141" s="53"/>
      <c r="K141" s="45">
        <f t="shared" si="23"/>
        <v>351002.55</v>
      </c>
      <c r="L141" s="45">
        <f t="shared" si="24"/>
        <v>447627.6</v>
      </c>
      <c r="M141" s="49">
        <v>52650.39</v>
      </c>
      <c r="N141" s="49">
        <v>149275.44</v>
      </c>
      <c r="O141" s="49"/>
      <c r="P141" s="49"/>
      <c r="Q141" s="49"/>
      <c r="R141" s="49"/>
      <c r="S141" s="49"/>
      <c r="T141" s="49"/>
      <c r="U141" s="49">
        <v>298352.15999999997</v>
      </c>
      <c r="V141" s="49">
        <v>298352.15999999997</v>
      </c>
      <c r="W141" s="67"/>
      <c r="X141" s="118"/>
      <c r="Y141" s="203">
        <f>'4 lentelė'!S140</f>
        <v>42835</v>
      </c>
    </row>
    <row r="142" spans="2:25" x14ac:dyDescent="0.25">
      <c r="B142" s="58" t="s">
        <v>651</v>
      </c>
      <c r="C142" s="41"/>
      <c r="D142" s="111" t="s">
        <v>652</v>
      </c>
      <c r="E142" s="53" t="s">
        <v>294</v>
      </c>
      <c r="F142" s="53" t="s">
        <v>574</v>
      </c>
      <c r="G142" s="53" t="s">
        <v>575</v>
      </c>
      <c r="H142" s="53" t="s">
        <v>630</v>
      </c>
      <c r="I142" s="53" t="s">
        <v>298</v>
      </c>
      <c r="J142" s="53"/>
      <c r="K142" s="45">
        <f t="shared" si="23"/>
        <v>419348</v>
      </c>
      <c r="L142" s="45">
        <f t="shared" si="24"/>
        <v>419348</v>
      </c>
      <c r="M142" s="49">
        <v>62902.2</v>
      </c>
      <c r="N142" s="49">
        <v>62902.2</v>
      </c>
      <c r="O142" s="49"/>
      <c r="P142" s="49"/>
      <c r="Q142" s="49"/>
      <c r="R142" s="49"/>
      <c r="S142" s="49"/>
      <c r="T142" s="49"/>
      <c r="U142" s="49">
        <v>356445.8</v>
      </c>
      <c r="V142" s="49">
        <v>356445.8</v>
      </c>
      <c r="W142" s="67"/>
      <c r="X142" s="118"/>
      <c r="Y142" s="203">
        <f>'4 lentelė'!S141</f>
        <v>42845</v>
      </c>
    </row>
    <row r="143" spans="2:25" ht="48" x14ac:dyDescent="0.25">
      <c r="B143" s="58" t="s">
        <v>653</v>
      </c>
      <c r="C143" s="41"/>
      <c r="D143" s="43" t="s">
        <v>654</v>
      </c>
      <c r="E143" s="54" t="s">
        <v>294</v>
      </c>
      <c r="F143" s="55" t="s">
        <v>574</v>
      </c>
      <c r="G143" s="55" t="s">
        <v>575</v>
      </c>
      <c r="H143" s="55" t="s">
        <v>630</v>
      </c>
      <c r="I143" s="55" t="s">
        <v>298</v>
      </c>
      <c r="J143" s="55"/>
      <c r="K143" s="45">
        <f t="shared" si="23"/>
        <v>129411.77</v>
      </c>
      <c r="L143" s="45">
        <f t="shared" si="24"/>
        <v>0</v>
      </c>
      <c r="M143" s="45">
        <v>19411.77</v>
      </c>
      <c r="N143" s="45"/>
      <c r="O143" s="45"/>
      <c r="P143" s="45"/>
      <c r="Q143" s="45"/>
      <c r="R143" s="45"/>
      <c r="S143" s="45"/>
      <c r="T143" s="45"/>
      <c r="U143" s="49">
        <v>110000</v>
      </c>
      <c r="V143" s="49"/>
      <c r="W143" s="67"/>
      <c r="X143" s="67"/>
      <c r="Y143" s="203">
        <f>'4 lentelė'!S142</f>
        <v>0</v>
      </c>
    </row>
    <row r="144" spans="2:25" x14ac:dyDescent="0.25">
      <c r="B144" s="400" t="s">
        <v>23</v>
      </c>
      <c r="C144" s="400"/>
      <c r="D144" s="400"/>
      <c r="E144" s="400"/>
      <c r="F144" s="400"/>
      <c r="G144" s="400"/>
      <c r="H144" s="400"/>
      <c r="I144" s="400"/>
      <c r="J144" s="400"/>
      <c r="K144" s="72">
        <f>SUM(K13:K143)-K140</f>
        <v>41999733.474117652</v>
      </c>
      <c r="L144" s="72">
        <f>SUM(L13:L143)-L140</f>
        <v>32558222.82</v>
      </c>
      <c r="M144" s="72">
        <f t="shared" ref="M144:V144" si="25">SUM(M13:M143)-M140</f>
        <v>7601671.2264705896</v>
      </c>
      <c r="N144" s="72">
        <f t="shared" si="25"/>
        <v>6798634.5900000017</v>
      </c>
      <c r="O144" s="72">
        <f t="shared" si="25"/>
        <v>602344.81764705898</v>
      </c>
      <c r="P144" s="72">
        <f t="shared" si="25"/>
        <v>563655.6935294118</v>
      </c>
      <c r="Q144" s="72">
        <f t="shared" si="25"/>
        <v>780124.34999999986</v>
      </c>
      <c r="R144" s="72">
        <f t="shared" si="25"/>
        <v>603558.57999999996</v>
      </c>
      <c r="S144" s="72">
        <f t="shared" si="25"/>
        <v>840163.01</v>
      </c>
      <c r="T144" s="72">
        <f t="shared" si="25"/>
        <v>704389.2</v>
      </c>
      <c r="U144" s="72">
        <f t="shared" si="25"/>
        <v>28854068.070000004</v>
      </c>
      <c r="V144" s="72">
        <f t="shared" si="25"/>
        <v>23500478.07</v>
      </c>
      <c r="W144" s="67"/>
      <c r="X144" s="67"/>
    </row>
    <row r="145" spans="2:24" ht="15.75" x14ac:dyDescent="0.25">
      <c r="B145" s="82" t="s">
        <v>41</v>
      </c>
    </row>
    <row r="146" spans="2:24" ht="15.75" x14ac:dyDescent="0.25">
      <c r="B146" s="82" t="s">
        <v>52</v>
      </c>
    </row>
    <row r="147" spans="2:24" ht="15.75" x14ac:dyDescent="0.25">
      <c r="B147" s="82"/>
    </row>
    <row r="148" spans="2:24" ht="15.75" customHeight="1" x14ac:dyDescent="0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</sheetData>
  <mergeCells count="68">
    <mergeCell ref="D131:X131"/>
    <mergeCell ref="D132:X132"/>
    <mergeCell ref="D134:X134"/>
    <mergeCell ref="D135:X135"/>
    <mergeCell ref="D136:X136"/>
    <mergeCell ref="D117:X117"/>
    <mergeCell ref="D118:X118"/>
    <mergeCell ref="D119:X119"/>
    <mergeCell ref="D120:X120"/>
    <mergeCell ref="D129:X129"/>
    <mergeCell ref="D102:X102"/>
    <mergeCell ref="D107:X107"/>
    <mergeCell ref="D112:X112"/>
    <mergeCell ref="D113:X113"/>
    <mergeCell ref="D114:X114"/>
    <mergeCell ref="D72:X72"/>
    <mergeCell ref="D73:X73"/>
    <mergeCell ref="D78:X78"/>
    <mergeCell ref="D83:X83"/>
    <mergeCell ref="D101:X101"/>
    <mergeCell ref="D56:X56"/>
    <mergeCell ref="D57:X57"/>
    <mergeCell ref="D58:X58"/>
    <mergeCell ref="D63:X63"/>
    <mergeCell ref="D68:X68"/>
    <mergeCell ref="D44:X44"/>
    <mergeCell ref="D47:X47"/>
    <mergeCell ref="D52:X52"/>
    <mergeCell ref="D53:X53"/>
    <mergeCell ref="D55:X55"/>
    <mergeCell ref="D27:X27"/>
    <mergeCell ref="D33:X33"/>
    <mergeCell ref="D36:X36"/>
    <mergeCell ref="D41:X41"/>
    <mergeCell ref="D43:X43"/>
    <mergeCell ref="D20:X20"/>
    <mergeCell ref="D22:X22"/>
    <mergeCell ref="D23:J23"/>
    <mergeCell ref="D25:X25"/>
    <mergeCell ref="D26:X26"/>
    <mergeCell ref="V1:X1"/>
    <mergeCell ref="V2:X2"/>
    <mergeCell ref="V3:X3"/>
    <mergeCell ref="B6:J6"/>
    <mergeCell ref="B7:B8"/>
    <mergeCell ref="O7:P7"/>
    <mergeCell ref="Q7:R7"/>
    <mergeCell ref="S7:T7"/>
    <mergeCell ref="U7:V7"/>
    <mergeCell ref="M7:N7"/>
    <mergeCell ref="K6:X6"/>
    <mergeCell ref="W7:X7"/>
    <mergeCell ref="B144:J144"/>
    <mergeCell ref="K7:L7"/>
    <mergeCell ref="J7:J8"/>
    <mergeCell ref="I7:I8"/>
    <mergeCell ref="H7:H8"/>
    <mergeCell ref="G7:G8"/>
    <mergeCell ref="C7:C8"/>
    <mergeCell ref="F7:F8"/>
    <mergeCell ref="E7:E8"/>
    <mergeCell ref="D7:D8"/>
    <mergeCell ref="D9:X9"/>
    <mergeCell ref="D10:X10"/>
    <mergeCell ref="D11:X11"/>
    <mergeCell ref="D12:X12"/>
    <mergeCell ref="D15:X15"/>
    <mergeCell ref="D18:X18"/>
  </mergeCells>
  <pageMargins left="0.11811023622047245" right="0.11811023622047245" top="0.15748031496062992" bottom="0.15748031496062992" header="0" footer="0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8"/>
  <sheetViews>
    <sheetView topLeftCell="C1" zoomScale="96" zoomScaleNormal="96" workbookViewId="0">
      <pane xSplit="4" ySplit="12" topLeftCell="Q65" activePane="bottomRight" state="frozen"/>
      <selection activeCell="C1" sqref="C1"/>
      <selection pane="topRight" activeCell="G1" sqref="G1"/>
      <selection pane="bottomLeft" activeCell="C13" sqref="C13"/>
      <selection pane="bottomRight" activeCell="V67" sqref="V67"/>
    </sheetView>
  </sheetViews>
  <sheetFormatPr defaultRowHeight="15" x14ac:dyDescent="0.25"/>
  <cols>
    <col min="1" max="1" width="4.28515625" style="6" customWidth="1"/>
    <col min="2" max="2" width="9.140625" style="6"/>
    <col min="3" max="3" width="17.42578125" style="6" customWidth="1"/>
    <col min="4" max="4" width="31.5703125" style="6" customWidth="1"/>
    <col min="5" max="5" width="13.140625" style="6" customWidth="1"/>
    <col min="6" max="6" width="10.5703125" style="6" customWidth="1"/>
    <col min="7" max="7" width="12.140625" style="6" customWidth="1"/>
    <col min="8" max="8" width="19" style="6" customWidth="1"/>
    <col min="9" max="9" width="6.5703125" style="6" customWidth="1"/>
    <col min="10" max="10" width="7.85546875" style="6" customWidth="1"/>
    <col min="11" max="12" width="12.140625" style="6" customWidth="1"/>
    <col min="13" max="14" width="12.28515625" style="6" customWidth="1"/>
    <col min="15" max="15" width="9.5703125" style="6" customWidth="1"/>
    <col min="16" max="16" width="13.5703125" style="6" customWidth="1"/>
    <col min="17" max="17" width="10" style="6" bestFit="1" customWidth="1"/>
    <col min="18" max="18" width="10" style="6" customWidth="1"/>
    <col min="19" max="19" width="10" style="6" bestFit="1" customWidth="1"/>
    <col min="20" max="20" width="10" style="6" customWidth="1"/>
    <col min="21" max="21" width="12.5703125" style="6" bestFit="1" customWidth="1"/>
    <col min="22" max="22" width="12.5703125" style="6" customWidth="1"/>
    <col min="23" max="24" width="9.140625" style="6"/>
    <col min="25" max="26" width="9.28515625" style="6" hidden="1" customWidth="1"/>
    <col min="27" max="27" width="9.5703125" style="6" hidden="1" customWidth="1"/>
    <col min="28" max="38" width="9.140625" style="6" hidden="1" customWidth="1"/>
    <col min="39" max="39" width="0" style="6" hidden="1" customWidth="1"/>
    <col min="40" max="16384" width="9.140625" style="6"/>
  </cols>
  <sheetData>
    <row r="1" spans="1:38" ht="15.75" x14ac:dyDescent="0.25">
      <c r="K1" s="88"/>
      <c r="L1" s="88"/>
      <c r="M1" s="88"/>
      <c r="N1" s="88"/>
      <c r="O1" s="88"/>
      <c r="P1" s="88"/>
      <c r="S1" s="88"/>
      <c r="T1" s="88"/>
      <c r="U1" s="88"/>
      <c r="V1" s="351" t="s">
        <v>120</v>
      </c>
      <c r="W1" s="351"/>
      <c r="X1" s="351"/>
      <c r="Y1" s="397"/>
      <c r="Z1" s="397"/>
      <c r="AA1" s="130"/>
    </row>
    <row r="2" spans="1:38" ht="15.75" x14ac:dyDescent="0.25">
      <c r="K2" s="88"/>
      <c r="L2" s="88"/>
      <c r="M2" s="88"/>
      <c r="N2" s="88"/>
      <c r="O2" s="88"/>
      <c r="P2" s="88"/>
      <c r="S2" s="88"/>
      <c r="T2" s="88"/>
      <c r="U2" s="88"/>
      <c r="V2" s="351" t="s">
        <v>0</v>
      </c>
      <c r="W2" s="351"/>
      <c r="X2" s="351"/>
      <c r="Y2" s="351"/>
      <c r="Z2" s="351"/>
      <c r="AA2" s="129"/>
    </row>
    <row r="3" spans="1:38" ht="15.75" x14ac:dyDescent="0.25">
      <c r="K3" s="88"/>
      <c r="L3" s="88"/>
      <c r="M3" s="88"/>
      <c r="N3" s="88"/>
      <c r="O3" s="88"/>
      <c r="P3" s="88"/>
      <c r="S3" s="88"/>
      <c r="T3" s="88"/>
      <c r="U3" s="88"/>
      <c r="V3" s="351" t="s">
        <v>12</v>
      </c>
      <c r="W3" s="351"/>
      <c r="X3" s="351"/>
      <c r="Y3" s="351"/>
      <c r="Z3" s="351"/>
      <c r="AA3" s="129"/>
    </row>
    <row r="4" spans="1:38" ht="15.75" x14ac:dyDescent="0.25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38" ht="15.75" x14ac:dyDescent="0.25">
      <c r="B5" s="1" t="s">
        <v>53</v>
      </c>
      <c r="C5" s="5"/>
      <c r="D5" s="5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131"/>
      <c r="Z5" s="131"/>
      <c r="AA5" s="131"/>
    </row>
    <row r="6" spans="1:38" ht="25.5" customHeight="1" x14ac:dyDescent="0.25">
      <c r="B6" s="399" t="s">
        <v>14</v>
      </c>
      <c r="C6" s="399"/>
      <c r="D6" s="399"/>
      <c r="E6" s="399"/>
      <c r="F6" s="399"/>
      <c r="G6" s="399"/>
      <c r="H6" s="399"/>
      <c r="I6" s="399"/>
      <c r="J6" s="399"/>
      <c r="K6" s="399" t="s">
        <v>15</v>
      </c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</row>
    <row r="7" spans="1:38" ht="76.5" customHeight="1" x14ac:dyDescent="0.25">
      <c r="A7" s="7"/>
      <c r="B7" s="399" t="s">
        <v>4</v>
      </c>
      <c r="C7" s="399" t="s">
        <v>114</v>
      </c>
      <c r="D7" s="399" t="s">
        <v>17</v>
      </c>
      <c r="E7" s="419" t="s">
        <v>121</v>
      </c>
      <c r="F7" s="399" t="s">
        <v>18</v>
      </c>
      <c r="G7" s="399" t="s">
        <v>19</v>
      </c>
      <c r="H7" s="399" t="s">
        <v>20</v>
      </c>
      <c r="I7" s="399" t="s">
        <v>44</v>
      </c>
      <c r="J7" s="399" t="s">
        <v>45</v>
      </c>
      <c r="K7" s="399" t="s">
        <v>23</v>
      </c>
      <c r="L7" s="399"/>
      <c r="M7" s="399" t="s">
        <v>24</v>
      </c>
      <c r="N7" s="399"/>
      <c r="O7" s="399" t="s">
        <v>25</v>
      </c>
      <c r="P7" s="399"/>
      <c r="Q7" s="399" t="s">
        <v>26</v>
      </c>
      <c r="R7" s="399"/>
      <c r="S7" s="399" t="s">
        <v>27</v>
      </c>
      <c r="T7" s="399"/>
      <c r="U7" s="399" t="s">
        <v>28</v>
      </c>
      <c r="V7" s="399"/>
      <c r="W7" s="419" t="s">
        <v>122</v>
      </c>
      <c r="X7" s="419"/>
      <c r="Y7" s="378" t="s">
        <v>113</v>
      </c>
      <c r="Z7" s="378"/>
      <c r="AA7" s="151"/>
      <c r="AB7" s="17" t="s">
        <v>704</v>
      </c>
      <c r="AC7" s="181" t="s">
        <v>233</v>
      </c>
      <c r="AD7" s="182"/>
      <c r="AE7" s="182"/>
      <c r="AF7" s="182"/>
      <c r="AG7" s="182"/>
      <c r="AH7" s="182"/>
      <c r="AI7" s="182"/>
      <c r="AJ7" s="182"/>
      <c r="AK7" s="182"/>
      <c r="AL7" s="183"/>
    </row>
    <row r="8" spans="1:38" s="108" customFormat="1" ht="17.25" customHeight="1" x14ac:dyDescent="0.2">
      <c r="B8" s="399"/>
      <c r="C8" s="399"/>
      <c r="D8" s="399"/>
      <c r="E8" s="419"/>
      <c r="F8" s="399"/>
      <c r="G8" s="399"/>
      <c r="H8" s="399"/>
      <c r="I8" s="399"/>
      <c r="J8" s="399"/>
      <c r="K8" s="13" t="s">
        <v>50</v>
      </c>
      <c r="L8" s="13" t="s">
        <v>54</v>
      </c>
      <c r="M8" s="13" t="s">
        <v>50</v>
      </c>
      <c r="N8" s="13" t="s">
        <v>54</v>
      </c>
      <c r="O8" s="13" t="s">
        <v>50</v>
      </c>
      <c r="P8" s="13" t="s">
        <v>54</v>
      </c>
      <c r="Q8" s="13" t="s">
        <v>50</v>
      </c>
      <c r="R8" s="13" t="s">
        <v>54</v>
      </c>
      <c r="S8" s="13" t="s">
        <v>50</v>
      </c>
      <c r="T8" s="13" t="s">
        <v>54</v>
      </c>
      <c r="U8" s="13" t="s">
        <v>50</v>
      </c>
      <c r="V8" s="13" t="s">
        <v>54</v>
      </c>
      <c r="W8" s="13" t="s">
        <v>50</v>
      </c>
      <c r="X8" s="13" t="s">
        <v>54</v>
      </c>
      <c r="Y8" s="134" t="s">
        <v>29</v>
      </c>
      <c r="Z8" s="134" t="s">
        <v>30</v>
      </c>
      <c r="AA8" s="151"/>
      <c r="AB8" s="16"/>
      <c r="AC8" s="156" t="s">
        <v>1</v>
      </c>
      <c r="AD8" s="156" t="s">
        <v>234</v>
      </c>
      <c r="AE8" s="156" t="s">
        <v>289</v>
      </c>
      <c r="AF8" s="156" t="s">
        <v>235</v>
      </c>
      <c r="AG8" s="156" t="s">
        <v>236</v>
      </c>
      <c r="AH8" s="156" t="s">
        <v>237</v>
      </c>
      <c r="AI8" s="156" t="s">
        <v>238</v>
      </c>
      <c r="AJ8" s="156" t="s">
        <v>239</v>
      </c>
      <c r="AK8" s="156" t="s">
        <v>240</v>
      </c>
      <c r="AL8" s="156" t="s">
        <v>241</v>
      </c>
    </row>
    <row r="9" spans="1:38" ht="15.75" customHeight="1" x14ac:dyDescent="0.25">
      <c r="A9" s="7"/>
      <c r="B9" s="65" t="s">
        <v>32</v>
      </c>
      <c r="C9" s="65"/>
      <c r="D9" s="407" t="s">
        <v>655</v>
      </c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9"/>
      <c r="Y9" s="172"/>
      <c r="Z9" s="172"/>
      <c r="AA9" s="133"/>
      <c r="AB9" s="172"/>
      <c r="AC9" s="157"/>
      <c r="AD9" s="157"/>
      <c r="AE9" s="157"/>
      <c r="AF9" s="157"/>
      <c r="AG9" s="157"/>
      <c r="AH9" s="157"/>
      <c r="AI9" s="157"/>
      <c r="AJ9" s="157"/>
      <c r="AK9" s="157"/>
      <c r="AL9" s="157"/>
    </row>
    <row r="10" spans="1:38" ht="15" customHeight="1" x14ac:dyDescent="0.25">
      <c r="B10" s="65" t="s">
        <v>33</v>
      </c>
      <c r="C10" s="65"/>
      <c r="D10" s="407" t="s">
        <v>290</v>
      </c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9"/>
      <c r="Y10" s="172"/>
      <c r="Z10" s="172"/>
      <c r="AA10" s="133"/>
      <c r="AB10" s="172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</row>
    <row r="11" spans="1:38" ht="15" customHeight="1" x14ac:dyDescent="0.25">
      <c r="B11" s="65" t="s">
        <v>6</v>
      </c>
      <c r="C11" s="65"/>
      <c r="D11" s="407" t="s">
        <v>291</v>
      </c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9"/>
      <c r="Y11" s="172"/>
      <c r="Z11" s="172"/>
      <c r="AA11" s="135"/>
      <c r="AB11" s="172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</row>
    <row r="12" spans="1:38" ht="15" customHeight="1" x14ac:dyDescent="0.25">
      <c r="B12" s="66" t="s">
        <v>35</v>
      </c>
      <c r="C12" s="66"/>
      <c r="D12" s="410" t="s">
        <v>292</v>
      </c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2"/>
      <c r="Y12" s="125"/>
      <c r="Z12" s="125"/>
      <c r="AA12" s="132"/>
      <c r="AB12" s="127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</row>
    <row r="13" spans="1:38" ht="27.75" customHeight="1" x14ac:dyDescent="0.25">
      <c r="B13" s="41" t="s">
        <v>36</v>
      </c>
      <c r="C13" s="41"/>
      <c r="D13" s="119" t="s">
        <v>293</v>
      </c>
      <c r="E13" s="54" t="s">
        <v>294</v>
      </c>
      <c r="F13" s="55" t="s">
        <v>295</v>
      </c>
      <c r="G13" s="55" t="s">
        <v>296</v>
      </c>
      <c r="H13" s="55" t="s">
        <v>297</v>
      </c>
      <c r="I13" s="55" t="s">
        <v>298</v>
      </c>
      <c r="J13" s="41"/>
      <c r="K13" s="45">
        <f>M13+O13+Q13+S13+U13+W13</f>
        <v>996471.76</v>
      </c>
      <c r="L13" s="45">
        <f>N13+P13+R13+T13+V13+X13</f>
        <v>13322.029999999999</v>
      </c>
      <c r="M13" s="45">
        <v>74735.38</v>
      </c>
      <c r="N13" s="45">
        <v>999.15</v>
      </c>
      <c r="O13" s="45">
        <v>74735.38</v>
      </c>
      <c r="P13" s="45">
        <v>999.15</v>
      </c>
      <c r="Q13" s="45"/>
      <c r="R13" s="45"/>
      <c r="S13" s="45"/>
      <c r="T13" s="45"/>
      <c r="U13" s="45">
        <v>847001</v>
      </c>
      <c r="V13" s="45">
        <v>11323.73</v>
      </c>
      <c r="W13" s="67"/>
      <c r="X13" s="118"/>
      <c r="Y13" s="154">
        <f>'5 lentelė'!R12</f>
        <v>2019</v>
      </c>
      <c r="Z13" s="155">
        <f>'5 lentelė'!S12</f>
        <v>0</v>
      </c>
      <c r="AA13" s="152">
        <f>IF(YEAR(Z13)=2018,AB13,0)</f>
        <v>0</v>
      </c>
      <c r="AB13" s="117">
        <v>1</v>
      </c>
      <c r="AC13" s="159">
        <v>29</v>
      </c>
      <c r="AD13" s="159" t="s">
        <v>88</v>
      </c>
      <c r="AE13" s="159">
        <v>30</v>
      </c>
      <c r="AF13" s="159" t="s">
        <v>89</v>
      </c>
      <c r="AG13" s="160">
        <v>34</v>
      </c>
      <c r="AH13" s="160" t="s">
        <v>93</v>
      </c>
      <c r="AI13" s="161"/>
      <c r="AJ13" s="161"/>
      <c r="AK13" s="161"/>
      <c r="AL13" s="161"/>
    </row>
    <row r="14" spans="1:38" ht="27" customHeight="1" x14ac:dyDescent="0.25">
      <c r="B14" s="41" t="s">
        <v>37</v>
      </c>
      <c r="C14" s="41"/>
      <c r="D14" s="47" t="s">
        <v>303</v>
      </c>
      <c r="E14" s="54" t="s">
        <v>304</v>
      </c>
      <c r="F14" s="55" t="s">
        <v>295</v>
      </c>
      <c r="G14" s="55" t="s">
        <v>305</v>
      </c>
      <c r="H14" s="55" t="s">
        <v>297</v>
      </c>
      <c r="I14" s="55" t="s">
        <v>298</v>
      </c>
      <c r="J14" s="41"/>
      <c r="K14" s="45">
        <f>M14+O14+Q14+S14+U14+W14</f>
        <v>870553</v>
      </c>
      <c r="L14" s="45">
        <f>N14+P14+R14+T14+V14+X14</f>
        <v>807853.67999999993</v>
      </c>
      <c r="M14" s="45">
        <v>65292</v>
      </c>
      <c r="N14" s="45">
        <v>47466.49</v>
      </c>
      <c r="O14" s="45">
        <v>65291</v>
      </c>
      <c r="P14" s="45">
        <v>56425.94</v>
      </c>
      <c r="Q14" s="45"/>
      <c r="R14" s="45"/>
      <c r="S14" s="45"/>
      <c r="T14" s="45"/>
      <c r="U14" s="45">
        <v>739970</v>
      </c>
      <c r="V14" s="45">
        <f>628993.97+74967.28</f>
        <v>703961.25</v>
      </c>
      <c r="W14" s="67"/>
      <c r="X14" s="118"/>
      <c r="Y14" s="154">
        <f>'5 lentelė'!R13</f>
        <v>2018</v>
      </c>
      <c r="Z14" s="155">
        <f>'5 lentelė'!S13</f>
        <v>0</v>
      </c>
      <c r="AA14" s="152">
        <f>IF(YEAR(Z14)=2018,AB14,0)</f>
        <v>0</v>
      </c>
      <c r="AB14" s="117">
        <v>1</v>
      </c>
      <c r="AC14" s="161">
        <v>29</v>
      </c>
      <c r="AD14" s="161" t="s">
        <v>88</v>
      </c>
      <c r="AE14" s="161">
        <v>30</v>
      </c>
      <c r="AF14" s="161" t="s">
        <v>89</v>
      </c>
      <c r="AG14" s="162"/>
      <c r="AH14" s="161"/>
      <c r="AI14" s="161"/>
      <c r="AJ14" s="161"/>
      <c r="AK14" s="161"/>
      <c r="AL14" s="161"/>
    </row>
    <row r="15" spans="1:38" x14ac:dyDescent="0.25">
      <c r="B15" s="66" t="s">
        <v>38</v>
      </c>
      <c r="C15" s="66"/>
      <c r="D15" s="410" t="s">
        <v>306</v>
      </c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  <c r="Y15" s="174"/>
      <c r="Z15" s="175"/>
      <c r="AA15" s="176"/>
      <c r="AB15" s="128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</row>
    <row r="16" spans="1:38" ht="24" x14ac:dyDescent="0.25">
      <c r="B16" s="41" t="s">
        <v>39</v>
      </c>
      <c r="C16" s="41"/>
      <c r="D16" s="47" t="s">
        <v>307</v>
      </c>
      <c r="E16" s="53" t="s">
        <v>308</v>
      </c>
      <c r="F16" s="53" t="s">
        <v>295</v>
      </c>
      <c r="G16" s="53" t="s">
        <v>309</v>
      </c>
      <c r="H16" s="53" t="s">
        <v>310</v>
      </c>
      <c r="I16" s="53" t="s">
        <v>298</v>
      </c>
      <c r="J16" s="53" t="s">
        <v>311</v>
      </c>
      <c r="K16" s="45">
        <f>M16+O16+Q16+S16+U16+W16</f>
        <v>511094</v>
      </c>
      <c r="L16" s="45">
        <f>N16+P16+R16+T16+V16+X16</f>
        <v>1334584.92</v>
      </c>
      <c r="M16" s="49">
        <v>38332</v>
      </c>
      <c r="N16" s="49">
        <v>79900.929999999993</v>
      </c>
      <c r="O16" s="49">
        <v>38332</v>
      </c>
      <c r="P16" s="116">
        <v>937335.14</v>
      </c>
      <c r="Q16" s="49"/>
      <c r="R16" s="49"/>
      <c r="S16" s="49"/>
      <c r="T16" s="49"/>
      <c r="U16" s="49">
        <v>434430</v>
      </c>
      <c r="V16" s="116">
        <v>317348.84999999998</v>
      </c>
      <c r="W16" s="67"/>
      <c r="X16" s="118"/>
      <c r="Y16" s="154">
        <f>'5 lentelė'!R15</f>
        <v>2019</v>
      </c>
      <c r="Z16" s="155">
        <f>'5 lentelė'!S15</f>
        <v>0</v>
      </c>
      <c r="AA16" s="152">
        <f>IF(YEAR(Z16)=2018,AB16,0)</f>
        <v>0</v>
      </c>
      <c r="AB16" s="117">
        <v>1</v>
      </c>
      <c r="AC16" s="159">
        <v>29</v>
      </c>
      <c r="AD16" s="159" t="s">
        <v>88</v>
      </c>
      <c r="AE16" s="159"/>
      <c r="AF16" s="159"/>
      <c r="AG16" s="163"/>
      <c r="AH16" s="159"/>
      <c r="AI16" s="159"/>
      <c r="AJ16" s="159"/>
      <c r="AK16" s="159"/>
      <c r="AL16" s="159"/>
    </row>
    <row r="17" spans="2:38" ht="48" x14ac:dyDescent="0.25">
      <c r="B17" s="41" t="s">
        <v>40</v>
      </c>
      <c r="C17" s="41"/>
      <c r="D17" s="47" t="s">
        <v>315</v>
      </c>
      <c r="E17" s="53" t="s">
        <v>308</v>
      </c>
      <c r="F17" s="53" t="s">
        <v>295</v>
      </c>
      <c r="G17" s="53" t="s">
        <v>309</v>
      </c>
      <c r="H17" s="53" t="s">
        <v>310</v>
      </c>
      <c r="I17" s="53" t="s">
        <v>298</v>
      </c>
      <c r="J17" s="53" t="s">
        <v>311</v>
      </c>
      <c r="K17" s="45">
        <f>M17+O17+Q17+S17+U17+W17</f>
        <v>406458</v>
      </c>
      <c r="L17" s="45">
        <f>N17+P17+R17+T17+V17+X17</f>
        <v>349444.07</v>
      </c>
      <c r="M17" s="49">
        <v>30485</v>
      </c>
      <c r="N17" s="49">
        <v>17472.2</v>
      </c>
      <c r="O17" s="49">
        <v>30484</v>
      </c>
      <c r="P17" s="117">
        <v>34944.410000000003</v>
      </c>
      <c r="Q17" s="49"/>
      <c r="R17" s="49"/>
      <c r="S17" s="49"/>
      <c r="T17" s="49"/>
      <c r="U17" s="49">
        <v>345489</v>
      </c>
      <c r="V17" s="49">
        <v>297027.46000000002</v>
      </c>
      <c r="W17" s="67"/>
      <c r="X17" s="118"/>
      <c r="Y17" s="154">
        <f>'5 lentelė'!R16</f>
        <v>2019</v>
      </c>
      <c r="Z17" s="155">
        <f>'5 lentelė'!S16</f>
        <v>0</v>
      </c>
      <c r="AA17" s="152">
        <f>IF(YEAR(Z17)=2018,AB17,0)</f>
        <v>0</v>
      </c>
      <c r="AB17" s="117">
        <v>1</v>
      </c>
      <c r="AC17" s="159">
        <v>28</v>
      </c>
      <c r="AD17" s="159" t="s">
        <v>87</v>
      </c>
      <c r="AE17" s="159"/>
      <c r="AF17" s="159"/>
      <c r="AG17" s="163"/>
      <c r="AH17" s="159"/>
      <c r="AI17" s="159"/>
      <c r="AJ17" s="159"/>
      <c r="AK17" s="159"/>
      <c r="AL17" s="159"/>
    </row>
    <row r="18" spans="2:38" ht="15" customHeight="1" x14ac:dyDescent="0.25">
      <c r="B18" s="66" t="s">
        <v>316</v>
      </c>
      <c r="C18" s="68"/>
      <c r="D18" s="413" t="s">
        <v>317</v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  <c r="Y18" s="174"/>
      <c r="Z18" s="175"/>
      <c r="AA18" s="176"/>
      <c r="AB18" s="128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</row>
    <row r="19" spans="2:38" ht="48" x14ac:dyDescent="0.25">
      <c r="B19" s="41" t="s">
        <v>318</v>
      </c>
      <c r="C19" s="41"/>
      <c r="D19" s="47" t="s">
        <v>319</v>
      </c>
      <c r="E19" s="54" t="s">
        <v>304</v>
      </c>
      <c r="F19" s="55" t="s">
        <v>295</v>
      </c>
      <c r="G19" s="55" t="s">
        <v>320</v>
      </c>
      <c r="H19" s="55" t="s">
        <v>321</v>
      </c>
      <c r="I19" s="55" t="s">
        <v>322</v>
      </c>
      <c r="J19" s="55" t="s">
        <v>311</v>
      </c>
      <c r="K19" s="45">
        <f>M19+O19+Q19+S19+U19+W19</f>
        <v>1022250</v>
      </c>
      <c r="L19" s="45">
        <f>N19+P19+R19+T19+V19+X19</f>
        <v>1387590.42</v>
      </c>
      <c r="M19" s="45">
        <v>76682</v>
      </c>
      <c r="N19" s="45">
        <v>465746.46</v>
      </c>
      <c r="O19" s="45">
        <v>76668</v>
      </c>
      <c r="P19" s="45">
        <v>74744.429999999993</v>
      </c>
      <c r="Q19" s="45"/>
      <c r="R19" s="45"/>
      <c r="S19" s="45"/>
      <c r="T19" s="45"/>
      <c r="U19" s="45">
        <v>868900</v>
      </c>
      <c r="V19" s="45">
        <v>847099.53</v>
      </c>
      <c r="W19" s="67"/>
      <c r="X19" s="118"/>
      <c r="Y19" s="154">
        <f>'5 lentelė'!R18</f>
        <v>2018</v>
      </c>
      <c r="Z19" s="155">
        <f>'5 lentelė'!S18</f>
        <v>0</v>
      </c>
      <c r="AA19" s="152">
        <f>IF(YEAR(Z19)=2018,AB19,0)</f>
        <v>0</v>
      </c>
      <c r="AB19" s="117">
        <v>1</v>
      </c>
      <c r="AC19" s="161">
        <v>34</v>
      </c>
      <c r="AD19" s="161" t="s">
        <v>323</v>
      </c>
      <c r="AE19" s="161"/>
      <c r="AF19" s="161"/>
      <c r="AG19" s="162"/>
      <c r="AH19" s="161"/>
      <c r="AI19" s="161"/>
      <c r="AJ19" s="161"/>
      <c r="AK19" s="161"/>
      <c r="AL19" s="161"/>
    </row>
    <row r="20" spans="2:38" ht="15" customHeight="1" x14ac:dyDescent="0.25">
      <c r="B20" s="66" t="s">
        <v>324</v>
      </c>
      <c r="C20" s="68"/>
      <c r="D20" s="413" t="s">
        <v>325</v>
      </c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  <c r="Y20" s="174"/>
      <c r="Z20" s="175"/>
      <c r="AA20" s="176"/>
      <c r="AB20" s="128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</row>
    <row r="21" spans="2:38" ht="24" x14ac:dyDescent="0.25">
      <c r="B21" s="41" t="s">
        <v>326</v>
      </c>
      <c r="C21" s="41"/>
      <c r="D21" s="43" t="s">
        <v>327</v>
      </c>
      <c r="E21" s="54" t="s">
        <v>328</v>
      </c>
      <c r="F21" s="55" t="s">
        <v>295</v>
      </c>
      <c r="G21" s="55" t="s">
        <v>329</v>
      </c>
      <c r="H21" s="55" t="s">
        <v>330</v>
      </c>
      <c r="I21" s="55" t="s">
        <v>298</v>
      </c>
      <c r="J21" s="55" t="s">
        <v>311</v>
      </c>
      <c r="K21" s="45">
        <f>M21+O21+Q21+S21+U21+W21</f>
        <v>461773</v>
      </c>
      <c r="L21" s="45">
        <f>N21+P21+R21+T21+V21+X21</f>
        <v>314883.59000000003</v>
      </c>
      <c r="M21" s="45">
        <v>34633</v>
      </c>
      <c r="N21" s="45">
        <v>33287.93</v>
      </c>
      <c r="O21" s="45">
        <v>34633</v>
      </c>
      <c r="P21" s="45">
        <v>9458.7000000000007</v>
      </c>
      <c r="Q21" s="45"/>
      <c r="R21" s="45"/>
      <c r="S21" s="45"/>
      <c r="T21" s="45"/>
      <c r="U21" s="45">
        <v>392507</v>
      </c>
      <c r="V21" s="45">
        <f>107198.48+164938.48</f>
        <v>272136.96000000002</v>
      </c>
      <c r="W21" s="67"/>
      <c r="X21" s="118"/>
      <c r="Y21" s="154">
        <f>'5 lentelė'!R20</f>
        <v>2019</v>
      </c>
      <c r="Z21" s="155">
        <f>'5 lentelė'!S20</f>
        <v>0</v>
      </c>
      <c r="AA21" s="152">
        <f>IF(YEAR(Z21)=2018,AB21,0)</f>
        <v>0</v>
      </c>
      <c r="AB21" s="117">
        <v>1</v>
      </c>
      <c r="AC21" s="161">
        <v>30</v>
      </c>
      <c r="AD21" s="161" t="s">
        <v>89</v>
      </c>
      <c r="AE21" s="161"/>
      <c r="AF21" s="161"/>
      <c r="AG21" s="162"/>
      <c r="AH21" s="161"/>
      <c r="AI21" s="161"/>
      <c r="AJ21" s="161"/>
      <c r="AK21" s="161"/>
      <c r="AL21" s="161"/>
    </row>
    <row r="22" spans="2:38" ht="15" customHeight="1" x14ac:dyDescent="0.25">
      <c r="B22" s="69" t="s">
        <v>656</v>
      </c>
      <c r="C22" s="70"/>
      <c r="D22" s="379" t="s">
        <v>331</v>
      </c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1"/>
      <c r="Y22" s="168"/>
      <c r="Z22" s="169"/>
      <c r="AA22" s="170"/>
      <c r="AB22" s="171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</row>
    <row r="23" spans="2:38" ht="15" customHeight="1" x14ac:dyDescent="0.25">
      <c r="B23" s="66" t="s">
        <v>332</v>
      </c>
      <c r="C23" s="68"/>
      <c r="D23" s="413" t="s">
        <v>333</v>
      </c>
      <c r="E23" s="414"/>
      <c r="F23" s="414"/>
      <c r="G23" s="414"/>
      <c r="H23" s="414"/>
      <c r="I23" s="414"/>
      <c r="J23" s="415"/>
      <c r="K23" s="68">
        <v>3321362</v>
      </c>
      <c r="L23" s="201"/>
      <c r="M23" s="201"/>
      <c r="N23" s="201"/>
      <c r="O23" s="201"/>
      <c r="P23" s="201"/>
      <c r="Q23" s="201"/>
      <c r="R23" s="201"/>
      <c r="S23" s="201"/>
      <c r="T23" s="201"/>
      <c r="U23" s="127"/>
      <c r="V23" s="127"/>
      <c r="W23" s="127"/>
      <c r="X23" s="127"/>
      <c r="Y23" s="174"/>
      <c r="Z23" s="175"/>
      <c r="AA23" s="176">
        <f>IF(YEAR(Z23)=2018,AB23,0)</f>
        <v>0</v>
      </c>
      <c r="AB23" s="128">
        <v>1</v>
      </c>
      <c r="AC23" s="177">
        <v>50</v>
      </c>
      <c r="AD23" s="177" t="s">
        <v>334</v>
      </c>
      <c r="AE23" s="177"/>
      <c r="AF23" s="177"/>
      <c r="AG23" s="178"/>
      <c r="AH23" s="177"/>
      <c r="AI23" s="177"/>
      <c r="AJ23" s="177"/>
      <c r="AK23" s="177"/>
      <c r="AL23" s="177"/>
    </row>
    <row r="24" spans="2:38" x14ac:dyDescent="0.25">
      <c r="B24" s="55" t="s">
        <v>660</v>
      </c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154">
        <f>'5 lentelė'!R23</f>
        <v>0</v>
      </c>
      <c r="Z24" s="155">
        <f>'5 lentelė'!S23</f>
        <v>0</v>
      </c>
      <c r="AA24" s="152"/>
      <c r="AB24" s="117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</row>
    <row r="25" spans="2:38" x14ac:dyDescent="0.25">
      <c r="B25" s="69" t="s">
        <v>657</v>
      </c>
      <c r="C25" s="70"/>
      <c r="D25" s="374" t="s">
        <v>335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6"/>
      <c r="Y25" s="168"/>
      <c r="Z25" s="169"/>
      <c r="AA25" s="170"/>
      <c r="AB25" s="171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</row>
    <row r="26" spans="2:38" x14ac:dyDescent="0.25">
      <c r="B26" s="69" t="s">
        <v>658</v>
      </c>
      <c r="C26" s="70"/>
      <c r="D26" s="374" t="s">
        <v>336</v>
      </c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6"/>
      <c r="Y26" s="168"/>
      <c r="Z26" s="169"/>
      <c r="AA26" s="170"/>
      <c r="AB26" s="171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</row>
    <row r="27" spans="2:38" x14ac:dyDescent="0.25">
      <c r="B27" s="79" t="s">
        <v>337</v>
      </c>
      <c r="C27" s="68"/>
      <c r="D27" s="365" t="s">
        <v>338</v>
      </c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7"/>
      <c r="Y27" s="174"/>
      <c r="Z27" s="175"/>
      <c r="AA27" s="176"/>
      <c r="AB27" s="128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</row>
    <row r="28" spans="2:38" ht="24" x14ac:dyDescent="0.25">
      <c r="B28" s="59" t="s">
        <v>339</v>
      </c>
      <c r="C28" s="41"/>
      <c r="D28" s="119" t="s">
        <v>340</v>
      </c>
      <c r="E28" s="54" t="s">
        <v>294</v>
      </c>
      <c r="F28" s="55" t="s">
        <v>341</v>
      </c>
      <c r="G28" s="55" t="s">
        <v>342</v>
      </c>
      <c r="H28" s="55" t="s">
        <v>343</v>
      </c>
      <c r="I28" s="55" t="s">
        <v>298</v>
      </c>
      <c r="J28" s="55"/>
      <c r="K28" s="45">
        <f t="shared" ref="K28:K32" si="0">M28+O28+Q28+S28+U28+W28</f>
        <v>822057.65</v>
      </c>
      <c r="L28" s="45">
        <f>N28+P28+R28+T28+V28+X28</f>
        <v>34095.86</v>
      </c>
      <c r="M28" s="45">
        <v>123308.65</v>
      </c>
      <c r="N28" s="45">
        <v>206.18</v>
      </c>
      <c r="O28" s="45"/>
      <c r="P28" s="45"/>
      <c r="Q28" s="45"/>
      <c r="R28" s="45"/>
      <c r="S28" s="45"/>
      <c r="T28" s="45"/>
      <c r="U28" s="45">
        <v>698749</v>
      </c>
      <c r="V28" s="45">
        <f>11638.38+22251.3</f>
        <v>33889.68</v>
      </c>
      <c r="W28" s="67"/>
      <c r="X28" s="118"/>
      <c r="Y28" s="154">
        <f>'5 lentelė'!R27</f>
        <v>2019</v>
      </c>
      <c r="Z28" s="155">
        <f>'5 lentelė'!S27</f>
        <v>0</v>
      </c>
      <c r="AA28" s="152">
        <f>IF(YEAR(Z28)=2018,AB28,0)</f>
        <v>0</v>
      </c>
      <c r="AB28" s="117">
        <v>1</v>
      </c>
      <c r="AC28" s="161">
        <v>19</v>
      </c>
      <c r="AD28" s="161" t="s">
        <v>344</v>
      </c>
      <c r="AE28" s="161"/>
      <c r="AF28" s="161"/>
      <c r="AG28" s="162"/>
      <c r="AH28" s="161"/>
      <c r="AI28" s="161"/>
      <c r="AJ28" s="161"/>
      <c r="AK28" s="161"/>
      <c r="AL28" s="161"/>
    </row>
    <row r="29" spans="2:38" ht="24" x14ac:dyDescent="0.25">
      <c r="B29" s="59" t="s">
        <v>347</v>
      </c>
      <c r="C29" s="41"/>
      <c r="D29" s="111" t="s">
        <v>348</v>
      </c>
      <c r="E29" s="54" t="s">
        <v>308</v>
      </c>
      <c r="F29" s="55" t="s">
        <v>341</v>
      </c>
      <c r="G29" s="55" t="s">
        <v>349</v>
      </c>
      <c r="H29" s="55" t="s">
        <v>343</v>
      </c>
      <c r="I29" s="55" t="s">
        <v>298</v>
      </c>
      <c r="J29" s="55" t="s">
        <v>311</v>
      </c>
      <c r="K29" s="45">
        <f t="shared" si="0"/>
        <v>336192.2</v>
      </c>
      <c r="L29" s="45">
        <f>N29+P29+R29+T29+V29+X29</f>
        <v>16434.919999999998</v>
      </c>
      <c r="M29" s="45">
        <v>43873.7</v>
      </c>
      <c r="N29" s="45">
        <v>2465.2399999999998</v>
      </c>
      <c r="O29" s="45"/>
      <c r="P29" s="45"/>
      <c r="Q29" s="45"/>
      <c r="R29" s="45"/>
      <c r="S29" s="45">
        <v>23701.5</v>
      </c>
      <c r="T29" s="45"/>
      <c r="U29" s="45">
        <v>268617</v>
      </c>
      <c r="V29" s="45">
        <v>13969.68</v>
      </c>
      <c r="W29" s="67"/>
      <c r="X29" s="118"/>
      <c r="Y29" s="154">
        <f>'5 lentelė'!R28</f>
        <v>2018</v>
      </c>
      <c r="Z29" s="155">
        <f>'5 lentelė'!S28</f>
        <v>0</v>
      </c>
      <c r="AA29" s="152">
        <f t="shared" ref="AA29:AA32" si="1">IF(YEAR(Z29)=2018,AB29,0)</f>
        <v>0</v>
      </c>
      <c r="AB29" s="117">
        <v>1</v>
      </c>
      <c r="AC29" s="161">
        <v>12</v>
      </c>
      <c r="AD29" s="161" t="s">
        <v>72</v>
      </c>
      <c r="AE29" s="161"/>
      <c r="AF29" s="161"/>
      <c r="AG29" s="162"/>
      <c r="AH29" s="161"/>
      <c r="AI29" s="161"/>
      <c r="AJ29" s="161"/>
      <c r="AK29" s="161"/>
      <c r="AL29" s="161"/>
    </row>
    <row r="30" spans="2:38" ht="24" x14ac:dyDescent="0.25">
      <c r="B30" s="59" t="s">
        <v>354</v>
      </c>
      <c r="C30" s="41"/>
      <c r="D30" s="119" t="s">
        <v>355</v>
      </c>
      <c r="E30" s="54" t="s">
        <v>328</v>
      </c>
      <c r="F30" s="55" t="s">
        <v>341</v>
      </c>
      <c r="G30" s="55" t="s">
        <v>356</v>
      </c>
      <c r="H30" s="55" t="s">
        <v>343</v>
      </c>
      <c r="I30" s="55" t="s">
        <v>298</v>
      </c>
      <c r="J30" s="55" t="s">
        <v>311</v>
      </c>
      <c r="K30" s="45">
        <f t="shared" si="0"/>
        <v>794019</v>
      </c>
      <c r="L30" s="45">
        <f>N30+P30+R30+T30+V30+X30</f>
        <v>22914.52</v>
      </c>
      <c r="M30" s="45">
        <v>59552</v>
      </c>
      <c r="N30" s="45">
        <v>3437.18</v>
      </c>
      <c r="O30" s="45"/>
      <c r="P30" s="45"/>
      <c r="Q30" s="45"/>
      <c r="R30" s="45"/>
      <c r="S30" s="45">
        <v>59551</v>
      </c>
      <c r="T30" s="45"/>
      <c r="U30" s="45">
        <v>674916</v>
      </c>
      <c r="V30" s="45">
        <v>19477.34</v>
      </c>
      <c r="W30" s="67"/>
      <c r="X30" s="118"/>
      <c r="Y30" s="154">
        <f>'5 lentelė'!R29</f>
        <v>2019</v>
      </c>
      <c r="Z30" s="155">
        <f>'5 lentelė'!S29</f>
        <v>0</v>
      </c>
      <c r="AA30" s="152">
        <f t="shared" si="1"/>
        <v>0</v>
      </c>
      <c r="AB30" s="117">
        <v>1</v>
      </c>
      <c r="AC30" s="161">
        <v>12</v>
      </c>
      <c r="AD30" s="161" t="s">
        <v>72</v>
      </c>
      <c r="AE30" s="161"/>
      <c r="AF30" s="161"/>
      <c r="AG30" s="162"/>
      <c r="AH30" s="161"/>
      <c r="AI30" s="161"/>
      <c r="AJ30" s="161"/>
      <c r="AK30" s="161"/>
      <c r="AL30" s="161"/>
    </row>
    <row r="31" spans="2:38" ht="24" x14ac:dyDescent="0.25">
      <c r="B31" s="59" t="s">
        <v>357</v>
      </c>
      <c r="C31" s="41"/>
      <c r="D31" s="111" t="s">
        <v>358</v>
      </c>
      <c r="E31" s="54" t="s">
        <v>328</v>
      </c>
      <c r="F31" s="55" t="s">
        <v>341</v>
      </c>
      <c r="G31" s="55" t="s">
        <v>356</v>
      </c>
      <c r="H31" s="55" t="s">
        <v>343</v>
      </c>
      <c r="I31" s="55" t="s">
        <v>298</v>
      </c>
      <c r="J31" s="55" t="s">
        <v>311</v>
      </c>
      <c r="K31" s="45">
        <f t="shared" si="0"/>
        <v>194118</v>
      </c>
      <c r="L31" s="45">
        <f>N31+P31+R31+T31+V31+X31</f>
        <v>0</v>
      </c>
      <c r="M31" s="45">
        <v>64860</v>
      </c>
      <c r="N31" s="45"/>
      <c r="O31" s="45"/>
      <c r="P31" s="45"/>
      <c r="Q31" s="45"/>
      <c r="R31" s="45"/>
      <c r="S31" s="45">
        <v>14558</v>
      </c>
      <c r="T31" s="45"/>
      <c r="U31" s="45">
        <v>114700</v>
      </c>
      <c r="V31" s="45"/>
      <c r="W31" s="67"/>
      <c r="X31" s="118"/>
      <c r="Y31" s="154">
        <f>'5 lentelė'!R30</f>
        <v>2020</v>
      </c>
      <c r="Z31" s="155">
        <f>'5 lentelė'!S30</f>
        <v>0</v>
      </c>
      <c r="AA31" s="152">
        <f t="shared" si="1"/>
        <v>0</v>
      </c>
      <c r="AB31" s="117">
        <v>1</v>
      </c>
      <c r="AC31" s="161">
        <v>19</v>
      </c>
      <c r="AD31" s="161" t="s">
        <v>344</v>
      </c>
      <c r="AE31" s="161"/>
      <c r="AF31" s="161"/>
      <c r="AG31" s="162"/>
      <c r="AH31" s="161"/>
      <c r="AI31" s="161"/>
      <c r="AJ31" s="161"/>
      <c r="AK31" s="161"/>
      <c r="AL31" s="161"/>
    </row>
    <row r="32" spans="2:38" ht="24" x14ac:dyDescent="0.25">
      <c r="B32" s="59" t="s">
        <v>359</v>
      </c>
      <c r="C32" s="41"/>
      <c r="D32" s="119" t="s">
        <v>360</v>
      </c>
      <c r="E32" s="54" t="s">
        <v>304</v>
      </c>
      <c r="F32" s="55" t="s">
        <v>341</v>
      </c>
      <c r="G32" s="43" t="s">
        <v>320</v>
      </c>
      <c r="H32" s="55" t="s">
        <v>343</v>
      </c>
      <c r="I32" s="55" t="s">
        <v>298</v>
      </c>
      <c r="J32" s="55" t="s">
        <v>311</v>
      </c>
      <c r="K32" s="45">
        <f t="shared" si="0"/>
        <v>1866751.15</v>
      </c>
      <c r="L32" s="45">
        <f>N32+P32+R32+T32+V32+X32</f>
        <v>469468.11999999994</v>
      </c>
      <c r="M32" s="45">
        <v>678877.04</v>
      </c>
      <c r="N32" s="45">
        <v>16374.42</v>
      </c>
      <c r="O32" s="45"/>
      <c r="P32" s="45"/>
      <c r="Q32" s="45"/>
      <c r="R32" s="45"/>
      <c r="S32" s="45">
        <v>96314.11</v>
      </c>
      <c r="T32" s="45"/>
      <c r="U32" s="45">
        <v>1091560</v>
      </c>
      <c r="V32" s="45">
        <f>92788.4+131669.78+228635.52</f>
        <v>453093.69999999995</v>
      </c>
      <c r="W32" s="67"/>
      <c r="X32" s="118"/>
      <c r="Y32" s="154">
        <f>'5 lentelė'!R31</f>
        <v>2020</v>
      </c>
      <c r="Z32" s="155">
        <f>'5 lentelė'!S31</f>
        <v>0</v>
      </c>
      <c r="AA32" s="152">
        <f t="shared" si="1"/>
        <v>0</v>
      </c>
      <c r="AB32" s="117">
        <v>1</v>
      </c>
      <c r="AC32" s="161">
        <v>12</v>
      </c>
      <c r="AD32" s="161" t="s">
        <v>72</v>
      </c>
      <c r="AE32" s="161"/>
      <c r="AF32" s="161"/>
      <c r="AG32" s="162"/>
      <c r="AH32" s="161"/>
      <c r="AI32" s="161"/>
      <c r="AJ32" s="161"/>
      <c r="AK32" s="161"/>
      <c r="AL32" s="161"/>
    </row>
    <row r="33" spans="2:38" ht="15" customHeight="1" x14ac:dyDescent="0.25">
      <c r="B33" s="79" t="s">
        <v>361</v>
      </c>
      <c r="C33" s="68"/>
      <c r="D33" s="413" t="s">
        <v>362</v>
      </c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  <c r="Y33" s="174"/>
      <c r="Z33" s="175"/>
      <c r="AA33" s="176"/>
      <c r="AB33" s="128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</row>
    <row r="34" spans="2:38" ht="24" x14ac:dyDescent="0.25">
      <c r="B34" s="59" t="s">
        <v>363</v>
      </c>
      <c r="C34" s="41"/>
      <c r="D34" s="43" t="s">
        <v>364</v>
      </c>
      <c r="E34" s="54" t="s">
        <v>304</v>
      </c>
      <c r="F34" s="55" t="s">
        <v>341</v>
      </c>
      <c r="G34" s="55" t="s">
        <v>320</v>
      </c>
      <c r="H34" s="55" t="s">
        <v>365</v>
      </c>
      <c r="I34" s="55" t="s">
        <v>298</v>
      </c>
      <c r="J34" s="55" t="s">
        <v>311</v>
      </c>
      <c r="K34" s="45">
        <f>M34+O34+Q34+S34+U34+W34</f>
        <v>1277647</v>
      </c>
      <c r="L34" s="45">
        <f>N34+P34+R34+T34+V34+X34</f>
        <v>0</v>
      </c>
      <c r="M34" s="45">
        <v>191647</v>
      </c>
      <c r="N34" s="45"/>
      <c r="O34" s="45"/>
      <c r="P34" s="45"/>
      <c r="Q34" s="45"/>
      <c r="R34" s="45"/>
      <c r="S34" s="45"/>
      <c r="T34" s="45"/>
      <c r="U34" s="45">
        <v>1086000</v>
      </c>
      <c r="V34" s="45"/>
      <c r="W34" s="67"/>
      <c r="X34" s="67"/>
      <c r="Y34" s="154">
        <f>'5 lentelė'!R33</f>
        <v>2021</v>
      </c>
      <c r="Z34" s="155">
        <f>'5 lentelė'!S33</f>
        <v>0</v>
      </c>
      <c r="AA34" s="152">
        <f>IF(YEAR(Z34)=2018,AB34,0)</f>
        <v>0</v>
      </c>
      <c r="AB34" s="117">
        <v>1</v>
      </c>
      <c r="AC34" s="161">
        <v>19</v>
      </c>
      <c r="AD34" s="161" t="s">
        <v>366</v>
      </c>
      <c r="AE34" s="161"/>
      <c r="AF34" s="161"/>
      <c r="AG34" s="162"/>
      <c r="AH34" s="161"/>
      <c r="AI34" s="161"/>
      <c r="AJ34" s="161"/>
      <c r="AK34" s="161"/>
      <c r="AL34" s="161"/>
    </row>
    <row r="35" spans="2:38" ht="24" x14ac:dyDescent="0.25">
      <c r="B35" s="59" t="s">
        <v>369</v>
      </c>
      <c r="C35" s="41"/>
      <c r="D35" s="43" t="s">
        <v>370</v>
      </c>
      <c r="E35" s="54" t="s">
        <v>304</v>
      </c>
      <c r="F35" s="55" t="s">
        <v>341</v>
      </c>
      <c r="G35" s="55" t="s">
        <v>320</v>
      </c>
      <c r="H35" s="55" t="s">
        <v>371</v>
      </c>
      <c r="I35" s="55" t="s">
        <v>322</v>
      </c>
      <c r="J35" s="55" t="s">
        <v>311</v>
      </c>
      <c r="K35" s="45">
        <f>M35+O35+Q35+S35+U35+W35</f>
        <v>11900</v>
      </c>
      <c r="L35" s="45">
        <f>N35+P35+R35+T35+V35+X35</f>
        <v>11900</v>
      </c>
      <c r="M35" s="45">
        <v>1785</v>
      </c>
      <c r="N35" s="45">
        <v>1785</v>
      </c>
      <c r="O35" s="45"/>
      <c r="P35" s="45"/>
      <c r="Q35" s="45"/>
      <c r="R35" s="45"/>
      <c r="S35" s="45"/>
      <c r="T35" s="45"/>
      <c r="U35" s="45">
        <v>10115</v>
      </c>
      <c r="V35" s="45">
        <v>10115</v>
      </c>
      <c r="W35" s="67"/>
      <c r="X35" s="67"/>
      <c r="Y35" s="155">
        <f>'5 lentelė'!R34</f>
        <v>42979</v>
      </c>
      <c r="Z35" s="155">
        <f>'5 lentelė'!S34</f>
        <v>43017</v>
      </c>
      <c r="AA35" s="303">
        <f t="shared" ref="AA35" si="2">IF(YEAR(Z35)=2017,AB35,0)</f>
        <v>1</v>
      </c>
      <c r="AB35" s="117">
        <v>1</v>
      </c>
      <c r="AC35" s="161">
        <v>50</v>
      </c>
      <c r="AD35" s="161" t="s">
        <v>334</v>
      </c>
      <c r="AE35" s="161"/>
      <c r="AF35" s="161"/>
      <c r="AG35" s="162"/>
      <c r="AH35" s="161"/>
      <c r="AI35" s="161"/>
      <c r="AJ35" s="161"/>
      <c r="AK35" s="161"/>
      <c r="AL35" s="161"/>
    </row>
    <row r="36" spans="2:38" ht="15" customHeight="1" x14ac:dyDescent="0.25">
      <c r="B36" s="79" t="s">
        <v>374</v>
      </c>
      <c r="C36" s="66"/>
      <c r="D36" s="413" t="s">
        <v>375</v>
      </c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5"/>
      <c r="Y36" s="174"/>
      <c r="Z36" s="175"/>
      <c r="AA36" s="176"/>
      <c r="AB36" s="128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</row>
    <row r="37" spans="2:38" ht="24" x14ac:dyDescent="0.25">
      <c r="B37" s="59" t="s">
        <v>376</v>
      </c>
      <c r="C37" s="41"/>
      <c r="D37" s="43" t="s">
        <v>377</v>
      </c>
      <c r="E37" s="54" t="s">
        <v>294</v>
      </c>
      <c r="F37" s="55" t="s">
        <v>341</v>
      </c>
      <c r="G37" s="55" t="s">
        <v>378</v>
      </c>
      <c r="H37" s="53" t="s">
        <v>379</v>
      </c>
      <c r="I37" s="55" t="s">
        <v>298</v>
      </c>
      <c r="J37" s="55"/>
      <c r="K37" s="45">
        <f t="shared" ref="K37:L40" si="3">M37+O37+Q37+S37+U37+W37</f>
        <v>83796.47</v>
      </c>
      <c r="L37" s="45">
        <v>46377.31</v>
      </c>
      <c r="M37" s="45">
        <v>12569.47</v>
      </c>
      <c r="N37" s="45">
        <f>L37-V37</f>
        <v>6956.5999999999985</v>
      </c>
      <c r="O37" s="45"/>
      <c r="P37" s="45"/>
      <c r="Q37" s="45"/>
      <c r="R37" s="45"/>
      <c r="S37" s="45"/>
      <c r="T37" s="45"/>
      <c r="U37" s="45">
        <v>71227</v>
      </c>
      <c r="V37" s="45">
        <v>39420.71</v>
      </c>
      <c r="W37" s="67"/>
      <c r="X37" s="67"/>
      <c r="Y37" s="154">
        <f>'5 lentelė'!R36</f>
        <v>2018</v>
      </c>
      <c r="Z37" s="155">
        <f>'5 lentelė'!S36</f>
        <v>0</v>
      </c>
      <c r="AA37" s="152">
        <f>IF(YEAR(Z37)=2018,AB37,0)</f>
        <v>0</v>
      </c>
      <c r="AB37" s="117">
        <v>1</v>
      </c>
      <c r="AC37" s="161">
        <v>19</v>
      </c>
      <c r="AD37" s="161" t="s">
        <v>344</v>
      </c>
      <c r="AE37" s="161"/>
      <c r="AF37" s="164"/>
      <c r="AG37" s="162"/>
      <c r="AH37" s="161"/>
      <c r="AI37" s="161"/>
      <c r="AJ37" s="161"/>
      <c r="AK37" s="161"/>
      <c r="AL37" s="161"/>
    </row>
    <row r="38" spans="2:38" ht="24" x14ac:dyDescent="0.25">
      <c r="B38" s="59" t="s">
        <v>382</v>
      </c>
      <c r="C38" s="41"/>
      <c r="D38" s="43" t="s">
        <v>383</v>
      </c>
      <c r="E38" s="54" t="s">
        <v>308</v>
      </c>
      <c r="F38" s="55" t="s">
        <v>341</v>
      </c>
      <c r="G38" s="55" t="s">
        <v>349</v>
      </c>
      <c r="H38" s="53" t="s">
        <v>379</v>
      </c>
      <c r="I38" s="55" t="s">
        <v>298</v>
      </c>
      <c r="J38" s="55" t="s">
        <v>311</v>
      </c>
      <c r="K38" s="45">
        <f t="shared" si="3"/>
        <v>34280.82</v>
      </c>
      <c r="L38" s="45">
        <f>N38+P38+R38+T38+V38+X38</f>
        <v>23070.89</v>
      </c>
      <c r="M38" s="45">
        <v>6898.82</v>
      </c>
      <c r="N38" s="45">
        <f>8753.03</f>
        <v>8753.0300000000007</v>
      </c>
      <c r="O38" s="45"/>
      <c r="P38" s="45"/>
      <c r="Q38" s="45"/>
      <c r="R38" s="45"/>
      <c r="S38" s="45"/>
      <c r="T38" s="45"/>
      <c r="U38" s="45">
        <v>27382</v>
      </c>
      <c r="V38" s="45">
        <f>5705.55+8612.31</f>
        <v>14317.86</v>
      </c>
      <c r="W38" s="67"/>
      <c r="X38" s="67"/>
      <c r="Y38" s="154">
        <f>'5 lentelė'!R37</f>
        <v>2019</v>
      </c>
      <c r="Z38" s="155">
        <f>'5 lentelė'!S37</f>
        <v>0</v>
      </c>
      <c r="AA38" s="152">
        <f t="shared" ref="AA38:AA39" si="4">IF(YEAR(Z38)=2018,AB38,0)</f>
        <v>0</v>
      </c>
      <c r="AB38" s="117">
        <v>1</v>
      </c>
      <c r="AC38" s="161">
        <v>19</v>
      </c>
      <c r="AD38" s="161" t="s">
        <v>344</v>
      </c>
      <c r="AE38" s="161"/>
      <c r="AF38" s="164"/>
      <c r="AG38" s="162"/>
      <c r="AH38" s="161"/>
      <c r="AI38" s="161"/>
      <c r="AJ38" s="161"/>
      <c r="AK38" s="161"/>
      <c r="AL38" s="161"/>
    </row>
    <row r="39" spans="2:38" ht="24" x14ac:dyDescent="0.25">
      <c r="B39" s="59" t="s">
        <v>386</v>
      </c>
      <c r="C39" s="41"/>
      <c r="D39" s="43" t="s">
        <v>387</v>
      </c>
      <c r="E39" s="54" t="s">
        <v>328</v>
      </c>
      <c r="F39" s="55" t="s">
        <v>341</v>
      </c>
      <c r="G39" s="55" t="s">
        <v>356</v>
      </c>
      <c r="H39" s="53" t="s">
        <v>379</v>
      </c>
      <c r="I39" s="55" t="s">
        <v>298</v>
      </c>
      <c r="J39" s="55" t="s">
        <v>311</v>
      </c>
      <c r="K39" s="45">
        <f t="shared" si="3"/>
        <v>100770</v>
      </c>
      <c r="L39" s="45">
        <f t="shared" si="3"/>
        <v>0</v>
      </c>
      <c r="M39" s="45">
        <v>20280</v>
      </c>
      <c r="N39" s="45"/>
      <c r="O39" s="45"/>
      <c r="P39" s="45"/>
      <c r="Q39" s="45"/>
      <c r="R39" s="45"/>
      <c r="S39" s="45"/>
      <c r="T39" s="45"/>
      <c r="U39" s="45">
        <v>80490</v>
      </c>
      <c r="V39" s="45"/>
      <c r="W39" s="67"/>
      <c r="X39" s="67"/>
      <c r="Y39" s="154">
        <f>'5 lentelė'!R38</f>
        <v>2020</v>
      </c>
      <c r="Z39" s="155">
        <f>'5 lentelė'!S38</f>
        <v>0</v>
      </c>
      <c r="AA39" s="152">
        <f t="shared" si="4"/>
        <v>0</v>
      </c>
      <c r="AB39" s="117">
        <v>1</v>
      </c>
      <c r="AC39" s="161">
        <v>19</v>
      </c>
      <c r="AD39" s="161" t="s">
        <v>344</v>
      </c>
      <c r="AE39" s="161"/>
      <c r="AF39" s="164"/>
      <c r="AG39" s="162"/>
      <c r="AH39" s="161"/>
      <c r="AI39" s="161"/>
      <c r="AJ39" s="161"/>
      <c r="AK39" s="161"/>
      <c r="AL39" s="161"/>
    </row>
    <row r="40" spans="2:38" ht="24" x14ac:dyDescent="0.25">
      <c r="B40" s="59" t="s">
        <v>388</v>
      </c>
      <c r="C40" s="41"/>
      <c r="D40" s="47" t="s">
        <v>389</v>
      </c>
      <c r="E40" s="54" t="s">
        <v>304</v>
      </c>
      <c r="F40" s="55" t="s">
        <v>341</v>
      </c>
      <c r="G40" s="55" t="s">
        <v>390</v>
      </c>
      <c r="H40" s="53" t="s">
        <v>379</v>
      </c>
      <c r="I40" s="55" t="s">
        <v>298</v>
      </c>
      <c r="J40" s="55"/>
      <c r="K40" s="45">
        <f t="shared" si="3"/>
        <v>139304.47</v>
      </c>
      <c r="L40" s="45">
        <f t="shared" si="3"/>
        <v>142676.6</v>
      </c>
      <c r="M40" s="45">
        <v>28035.47</v>
      </c>
      <c r="N40" s="45">
        <v>31407.61</v>
      </c>
      <c r="O40" s="45"/>
      <c r="P40" s="45"/>
      <c r="Q40" s="45"/>
      <c r="R40" s="45"/>
      <c r="S40" s="45"/>
      <c r="T40" s="45"/>
      <c r="U40" s="45">
        <v>111269</v>
      </c>
      <c r="V40" s="45">
        <v>111268.99</v>
      </c>
      <c r="W40" s="67"/>
      <c r="X40" s="118"/>
      <c r="Y40" s="155">
        <f>'5 lentelė'!R39</f>
        <v>43466</v>
      </c>
      <c r="Z40" s="155">
        <f>'5 lentelė'!S39</f>
        <v>43097</v>
      </c>
      <c r="AA40" s="303">
        <f>IF(YEAR(Z40)=2017,AB40,0)</f>
        <v>1</v>
      </c>
      <c r="AB40" s="117">
        <v>1</v>
      </c>
      <c r="AC40" s="161">
        <v>19</v>
      </c>
      <c r="AD40" s="161" t="s">
        <v>344</v>
      </c>
      <c r="AE40" s="161"/>
      <c r="AF40" s="164"/>
      <c r="AG40" s="162"/>
      <c r="AH40" s="161"/>
      <c r="AI40" s="161"/>
      <c r="AJ40" s="161"/>
      <c r="AK40" s="161"/>
      <c r="AL40" s="161"/>
    </row>
    <row r="41" spans="2:38" ht="15" customHeight="1" x14ac:dyDescent="0.25">
      <c r="B41" s="71" t="s">
        <v>391</v>
      </c>
      <c r="C41" s="68"/>
      <c r="D41" s="382" t="s">
        <v>392</v>
      </c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4"/>
      <c r="Y41" s="174"/>
      <c r="Z41" s="175"/>
      <c r="AA41" s="176"/>
      <c r="AB41" s="128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</row>
    <row r="42" spans="2:38" ht="24" x14ac:dyDescent="0.25">
      <c r="B42" s="59" t="s">
        <v>393</v>
      </c>
      <c r="C42" s="41"/>
      <c r="D42" s="43" t="s">
        <v>394</v>
      </c>
      <c r="E42" s="54" t="s">
        <v>304</v>
      </c>
      <c r="F42" s="55" t="s">
        <v>341</v>
      </c>
      <c r="G42" s="55" t="s">
        <v>320</v>
      </c>
      <c r="H42" s="55" t="s">
        <v>395</v>
      </c>
      <c r="I42" s="55" t="s">
        <v>298</v>
      </c>
      <c r="J42" s="55" t="s">
        <v>311</v>
      </c>
      <c r="K42" s="45">
        <f>M42+O42+Q42+S42+U42+W42</f>
        <v>798964</v>
      </c>
      <c r="L42" s="45">
        <f>N42+P42+R42+T42+V42+X42</f>
        <v>0</v>
      </c>
      <c r="M42" s="45">
        <v>119845</v>
      </c>
      <c r="N42" s="45"/>
      <c r="O42" s="45"/>
      <c r="P42" s="45"/>
      <c r="Q42" s="45"/>
      <c r="R42" s="45"/>
      <c r="S42" s="45"/>
      <c r="T42" s="45"/>
      <c r="U42" s="45">
        <v>679119</v>
      </c>
      <c r="V42" s="45"/>
      <c r="W42" s="67"/>
      <c r="X42" s="67"/>
      <c r="Y42" s="154">
        <f>'5 lentelė'!R41</f>
        <v>2018</v>
      </c>
      <c r="Z42" s="155">
        <f>'5 lentelė'!S41</f>
        <v>0</v>
      </c>
      <c r="AA42" s="152">
        <f>IF(YEAR(Z42)=2018,AB42,0)</f>
        <v>0</v>
      </c>
      <c r="AB42" s="117">
        <v>1</v>
      </c>
      <c r="AC42" s="161">
        <v>10</v>
      </c>
      <c r="AD42" s="161" t="s">
        <v>70</v>
      </c>
      <c r="AE42" s="161"/>
      <c r="AF42" s="161"/>
      <c r="AG42" s="162"/>
      <c r="AH42" s="161"/>
      <c r="AI42" s="161"/>
      <c r="AJ42" s="161"/>
      <c r="AK42" s="161"/>
      <c r="AL42" s="161"/>
    </row>
    <row r="43" spans="2:38" x14ac:dyDescent="0.25">
      <c r="B43" s="69" t="s">
        <v>662</v>
      </c>
      <c r="C43" s="70"/>
      <c r="D43" s="374" t="s">
        <v>398</v>
      </c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6"/>
      <c r="Y43" s="168"/>
      <c r="Z43" s="169"/>
      <c r="AA43" s="170"/>
      <c r="AB43" s="171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</row>
    <row r="44" spans="2:38" x14ac:dyDescent="0.25">
      <c r="B44" s="79" t="s">
        <v>399</v>
      </c>
      <c r="C44" s="68"/>
      <c r="D44" s="365" t="s">
        <v>400</v>
      </c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7"/>
      <c r="Y44" s="174"/>
      <c r="Z44" s="175"/>
      <c r="AA44" s="176"/>
      <c r="AB44" s="128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</row>
    <row r="45" spans="2:38" ht="24" x14ac:dyDescent="0.25">
      <c r="B45" s="59" t="s">
        <v>401</v>
      </c>
      <c r="C45" s="41"/>
      <c r="D45" s="121" t="s">
        <v>402</v>
      </c>
      <c r="E45" s="55" t="s">
        <v>304</v>
      </c>
      <c r="F45" s="55" t="s">
        <v>403</v>
      </c>
      <c r="G45" s="55" t="s">
        <v>320</v>
      </c>
      <c r="H45" s="53" t="s">
        <v>404</v>
      </c>
      <c r="I45" s="55" t="s">
        <v>298</v>
      </c>
      <c r="J45" s="55" t="s">
        <v>311</v>
      </c>
      <c r="K45" s="45">
        <f>M45+O45+Q45+S45+U45+W45</f>
        <v>588358</v>
      </c>
      <c r="L45" s="45">
        <f>N45+P45+R45+T45+V45+X45</f>
        <v>1199594.49</v>
      </c>
      <c r="M45" s="45">
        <v>88253.84</v>
      </c>
      <c r="N45" s="45">
        <v>987431.79</v>
      </c>
      <c r="O45" s="45"/>
      <c r="P45" s="45"/>
      <c r="Q45" s="45"/>
      <c r="R45" s="45"/>
      <c r="S45" s="45"/>
      <c r="T45" s="45"/>
      <c r="U45" s="45">
        <v>500104.16</v>
      </c>
      <c r="V45" s="45">
        <f>191436.74+19096.44+1629.52</f>
        <v>212162.69999999998</v>
      </c>
      <c r="W45" s="67"/>
      <c r="X45" s="118"/>
      <c r="Y45" s="154">
        <f>'5 lentelė'!R44</f>
        <v>2019</v>
      </c>
      <c r="Z45" s="155">
        <f>'5 lentelė'!S44</f>
        <v>0</v>
      </c>
      <c r="AA45" s="152">
        <f>IF(YEAR(Z45)=2018,AB45,0)</f>
        <v>0</v>
      </c>
      <c r="AB45" s="117">
        <v>1</v>
      </c>
      <c r="AC45" s="161">
        <v>33</v>
      </c>
      <c r="AD45" s="161" t="s">
        <v>92</v>
      </c>
      <c r="AE45" s="161"/>
      <c r="AF45" s="161"/>
      <c r="AG45" s="165"/>
      <c r="AH45" s="161"/>
      <c r="AI45" s="161"/>
      <c r="AJ45" s="161"/>
      <c r="AK45" s="161"/>
      <c r="AL45" s="161"/>
    </row>
    <row r="46" spans="2:38" ht="24" x14ac:dyDescent="0.25">
      <c r="B46" s="59" t="s">
        <v>407</v>
      </c>
      <c r="C46" s="41"/>
      <c r="D46" s="48" t="s">
        <v>408</v>
      </c>
      <c r="E46" s="53" t="s">
        <v>328</v>
      </c>
      <c r="F46" s="53" t="s">
        <v>403</v>
      </c>
      <c r="G46" s="53" t="s">
        <v>356</v>
      </c>
      <c r="H46" s="53" t="s">
        <v>404</v>
      </c>
      <c r="I46" s="53" t="s">
        <v>298</v>
      </c>
      <c r="J46" s="53" t="s">
        <v>311</v>
      </c>
      <c r="K46" s="45">
        <f>M46+O46+Q46+S46+U46+W46</f>
        <v>515526.52</v>
      </c>
      <c r="L46" s="45">
        <f>N46+P46+R46+T46+V46+X46</f>
        <v>364563.9</v>
      </c>
      <c r="M46" s="49">
        <v>97732.29</v>
      </c>
      <c r="N46" s="49">
        <v>59539.38</v>
      </c>
      <c r="O46" s="49"/>
      <c r="P46" s="49"/>
      <c r="Q46" s="49"/>
      <c r="R46" s="49"/>
      <c r="S46" s="49">
        <v>226000</v>
      </c>
      <c r="T46" s="49">
        <v>137681.23000000001</v>
      </c>
      <c r="U46" s="49">
        <v>191794.23</v>
      </c>
      <c r="V46" s="49">
        <f>167342.76+0.53</f>
        <v>167343.29</v>
      </c>
      <c r="W46" s="67"/>
      <c r="X46" s="118"/>
      <c r="Y46" s="154">
        <f>'5 lentelė'!R45</f>
        <v>2018</v>
      </c>
      <c r="Z46" s="155">
        <f>'5 lentelė'!S45</f>
        <v>0</v>
      </c>
      <c r="AA46" s="152">
        <f>IF(YEAR(Z46)=2018,AB46,0)</f>
        <v>0</v>
      </c>
      <c r="AB46" s="117">
        <v>1</v>
      </c>
      <c r="AC46" s="159">
        <v>33</v>
      </c>
      <c r="AD46" s="159" t="s">
        <v>92</v>
      </c>
      <c r="AE46" s="159"/>
      <c r="AF46" s="159"/>
      <c r="AG46" s="163"/>
      <c r="AH46" s="159"/>
      <c r="AI46" s="159"/>
      <c r="AJ46" s="159"/>
      <c r="AK46" s="159"/>
      <c r="AL46" s="159"/>
    </row>
    <row r="47" spans="2:38" x14ac:dyDescent="0.25">
      <c r="B47" s="79" t="s">
        <v>409</v>
      </c>
      <c r="C47" s="68"/>
      <c r="D47" s="365" t="s">
        <v>410</v>
      </c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7"/>
      <c r="Y47" s="174"/>
      <c r="Z47" s="175"/>
      <c r="AA47" s="176"/>
      <c r="AB47" s="128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</row>
    <row r="48" spans="2:38" ht="72" x14ac:dyDescent="0.25">
      <c r="B48" s="59" t="s">
        <v>411</v>
      </c>
      <c r="C48" s="41"/>
      <c r="D48" s="48" t="s">
        <v>412</v>
      </c>
      <c r="E48" s="54" t="s">
        <v>304</v>
      </c>
      <c r="F48" s="54" t="s">
        <v>403</v>
      </c>
      <c r="G48" s="54" t="s">
        <v>320</v>
      </c>
      <c r="H48" s="55" t="s">
        <v>413</v>
      </c>
      <c r="I48" s="54" t="s">
        <v>298</v>
      </c>
      <c r="J48" s="54" t="s">
        <v>311</v>
      </c>
      <c r="K48" s="45">
        <f t="shared" ref="K48:L51" si="5">M48+O48+Q48+S48+U48+W48</f>
        <v>464475</v>
      </c>
      <c r="L48" s="45">
        <f t="shared" si="5"/>
        <v>182771.00000000003</v>
      </c>
      <c r="M48" s="60">
        <v>69671</v>
      </c>
      <c r="N48" s="60">
        <v>23093.45</v>
      </c>
      <c r="O48" s="60"/>
      <c r="P48" s="60"/>
      <c r="Q48" s="60"/>
      <c r="R48" s="60"/>
      <c r="S48" s="60"/>
      <c r="T48" s="60"/>
      <c r="U48" s="60">
        <v>394804</v>
      </c>
      <c r="V48" s="60">
        <f>73943.35+38751.13+46983.07</f>
        <v>159677.55000000002</v>
      </c>
      <c r="W48" s="67"/>
      <c r="X48" s="118"/>
      <c r="Y48" s="154">
        <f>'5 lentelė'!R47</f>
        <v>2019</v>
      </c>
      <c r="Z48" s="155">
        <f>'5 lentelė'!S47</f>
        <v>0</v>
      </c>
      <c r="AA48" s="152">
        <f>IF(YEAR(Z48)=2018,AB48,0)</f>
        <v>0</v>
      </c>
      <c r="AB48" s="117">
        <v>1</v>
      </c>
      <c r="AC48" s="161">
        <v>44</v>
      </c>
      <c r="AD48" s="161" t="s">
        <v>102</v>
      </c>
      <c r="AE48" s="161"/>
      <c r="AF48" s="161"/>
      <c r="AG48" s="162"/>
      <c r="AH48" s="161"/>
      <c r="AI48" s="161"/>
      <c r="AJ48" s="161"/>
      <c r="AK48" s="161"/>
      <c r="AL48" s="161"/>
    </row>
    <row r="49" spans="2:38" ht="36" x14ac:dyDescent="0.25">
      <c r="B49" s="59" t="s">
        <v>418</v>
      </c>
      <c r="C49" s="41"/>
      <c r="D49" s="75" t="s">
        <v>419</v>
      </c>
      <c r="E49" s="55" t="s">
        <v>294</v>
      </c>
      <c r="F49" s="55" t="s">
        <v>403</v>
      </c>
      <c r="G49" s="55" t="s">
        <v>420</v>
      </c>
      <c r="H49" s="55" t="s">
        <v>413</v>
      </c>
      <c r="I49" s="55" t="s">
        <v>298</v>
      </c>
      <c r="J49" s="55"/>
      <c r="K49" s="45">
        <f t="shared" si="5"/>
        <v>297327.13</v>
      </c>
      <c r="L49" s="45">
        <f t="shared" si="5"/>
        <v>135400.03</v>
      </c>
      <c r="M49" s="45">
        <v>44599.07</v>
      </c>
      <c r="N49" s="45">
        <v>10859.07</v>
      </c>
      <c r="O49" s="45"/>
      <c r="P49" s="45"/>
      <c r="Q49" s="45"/>
      <c r="R49" s="45"/>
      <c r="S49" s="45"/>
      <c r="T49" s="45"/>
      <c r="U49" s="45">
        <v>252728.06</v>
      </c>
      <c r="V49" s="45">
        <f>61534.76+62320.68+685.52</f>
        <v>124540.96</v>
      </c>
      <c r="W49" s="67"/>
      <c r="X49" s="118"/>
      <c r="Y49" s="154">
        <f>'5 lentelė'!R48</f>
        <v>2019</v>
      </c>
      <c r="Z49" s="155">
        <f>'5 lentelė'!S48</f>
        <v>0</v>
      </c>
      <c r="AA49" s="152">
        <f t="shared" ref="AA49:AA51" si="6">IF(YEAR(Z49)=2018,AB49,0)</f>
        <v>0</v>
      </c>
      <c r="AB49" s="117">
        <v>1</v>
      </c>
      <c r="AC49" s="161">
        <v>44</v>
      </c>
      <c r="AD49" s="161" t="s">
        <v>102</v>
      </c>
      <c r="AE49" s="161"/>
      <c r="AF49" s="161"/>
      <c r="AG49" s="165"/>
      <c r="AH49" s="161"/>
      <c r="AI49" s="161"/>
      <c r="AJ49" s="161"/>
      <c r="AK49" s="161"/>
      <c r="AL49" s="161"/>
    </row>
    <row r="50" spans="2:38" ht="48" x14ac:dyDescent="0.25">
      <c r="B50" s="59" t="s">
        <v>421</v>
      </c>
      <c r="C50" s="41"/>
      <c r="D50" s="75" t="s">
        <v>422</v>
      </c>
      <c r="E50" s="55" t="s">
        <v>308</v>
      </c>
      <c r="F50" s="55" t="s">
        <v>403</v>
      </c>
      <c r="G50" s="55" t="s">
        <v>309</v>
      </c>
      <c r="H50" s="55" t="s">
        <v>413</v>
      </c>
      <c r="I50" s="55" t="s">
        <v>298</v>
      </c>
      <c r="J50" s="55" t="s">
        <v>311</v>
      </c>
      <c r="K50" s="45">
        <f t="shared" si="5"/>
        <v>114301</v>
      </c>
      <c r="L50" s="45">
        <f t="shared" si="5"/>
        <v>2026.6</v>
      </c>
      <c r="M50" s="45">
        <v>17146</v>
      </c>
      <c r="N50" s="45">
        <v>505.82</v>
      </c>
      <c r="O50" s="45"/>
      <c r="P50" s="45"/>
      <c r="Q50" s="45"/>
      <c r="R50" s="45"/>
      <c r="S50" s="45"/>
      <c r="T50" s="45"/>
      <c r="U50" s="45">
        <v>97155</v>
      </c>
      <c r="V50" s="45">
        <v>1520.78</v>
      </c>
      <c r="W50" s="67"/>
      <c r="X50" s="118"/>
      <c r="Y50" s="154">
        <f>'5 lentelė'!R49</f>
        <v>2018</v>
      </c>
      <c r="Z50" s="155">
        <f>'5 lentelė'!S49</f>
        <v>0</v>
      </c>
      <c r="AA50" s="152">
        <f t="shared" si="6"/>
        <v>0</v>
      </c>
      <c r="AB50" s="117">
        <v>1</v>
      </c>
      <c r="AC50" s="161">
        <v>44</v>
      </c>
      <c r="AD50" s="161" t="s">
        <v>423</v>
      </c>
      <c r="AE50" s="161"/>
      <c r="AF50" s="161"/>
      <c r="AG50" s="165"/>
      <c r="AH50" s="161"/>
      <c r="AI50" s="161"/>
      <c r="AJ50" s="161"/>
      <c r="AK50" s="161"/>
      <c r="AL50" s="161"/>
    </row>
    <row r="51" spans="2:38" ht="24" x14ac:dyDescent="0.25">
      <c r="B51" s="59" t="s">
        <v>424</v>
      </c>
      <c r="C51" s="41"/>
      <c r="D51" s="51" t="s">
        <v>425</v>
      </c>
      <c r="E51" s="55" t="s">
        <v>328</v>
      </c>
      <c r="F51" s="55" t="s">
        <v>403</v>
      </c>
      <c r="G51" s="55" t="s">
        <v>426</v>
      </c>
      <c r="H51" s="55" t="s">
        <v>413</v>
      </c>
      <c r="I51" s="55" t="s">
        <v>298</v>
      </c>
      <c r="J51" s="55"/>
      <c r="K51" s="45">
        <f t="shared" si="5"/>
        <v>335993</v>
      </c>
      <c r="L51" s="45">
        <f t="shared" si="5"/>
        <v>0</v>
      </c>
      <c r="M51" s="45">
        <v>50398.95</v>
      </c>
      <c r="N51" s="45"/>
      <c r="O51" s="45"/>
      <c r="P51" s="45"/>
      <c r="Q51" s="45"/>
      <c r="R51" s="45"/>
      <c r="S51" s="45"/>
      <c r="T51" s="45"/>
      <c r="U51" s="49">
        <v>285594.05</v>
      </c>
      <c r="V51" s="49"/>
      <c r="W51" s="67"/>
      <c r="X51" s="67"/>
      <c r="Y51" s="154">
        <f>'5 lentelė'!R50</f>
        <v>2019</v>
      </c>
      <c r="Z51" s="155">
        <f>'5 lentelė'!S50</f>
        <v>0</v>
      </c>
      <c r="AA51" s="152">
        <f t="shared" si="6"/>
        <v>0</v>
      </c>
      <c r="AB51" s="117">
        <v>1</v>
      </c>
      <c r="AC51" s="161">
        <v>44</v>
      </c>
      <c r="AD51" s="161" t="s">
        <v>102</v>
      </c>
      <c r="AE51" s="161"/>
      <c r="AF51" s="161"/>
      <c r="AG51" s="165"/>
      <c r="AH51" s="161"/>
      <c r="AI51" s="161"/>
      <c r="AJ51" s="161"/>
      <c r="AK51" s="161"/>
      <c r="AL51" s="161"/>
    </row>
    <row r="52" spans="2:38" x14ac:dyDescent="0.25">
      <c r="B52" s="69" t="s">
        <v>663</v>
      </c>
      <c r="C52" s="70"/>
      <c r="D52" s="374" t="s">
        <v>427</v>
      </c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6"/>
      <c r="Y52" s="168"/>
      <c r="Z52" s="169"/>
      <c r="AA52" s="170"/>
      <c r="AB52" s="171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</row>
    <row r="53" spans="2:38" x14ac:dyDescent="0.25">
      <c r="B53" s="79" t="s">
        <v>428</v>
      </c>
      <c r="C53" s="68"/>
      <c r="D53" s="365" t="s">
        <v>429</v>
      </c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7"/>
      <c r="Y53" s="174"/>
      <c r="Z53" s="175"/>
      <c r="AA53" s="176"/>
      <c r="AB53" s="128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</row>
    <row r="54" spans="2:38" ht="36" x14ac:dyDescent="0.25">
      <c r="B54" s="59" t="s">
        <v>430</v>
      </c>
      <c r="C54" s="41"/>
      <c r="D54" s="120" t="s">
        <v>431</v>
      </c>
      <c r="E54" s="54" t="s">
        <v>328</v>
      </c>
      <c r="F54" s="54" t="s">
        <v>432</v>
      </c>
      <c r="G54" s="54" t="s">
        <v>433</v>
      </c>
      <c r="H54" s="54" t="s">
        <v>434</v>
      </c>
      <c r="I54" s="54" t="s">
        <v>298</v>
      </c>
      <c r="J54" s="56"/>
      <c r="K54" s="45">
        <f>M54+O54+Q54+S54+U54+W54</f>
        <v>466925.52</v>
      </c>
      <c r="L54" s="45">
        <f>N54+P54+R54+T54+V54+X54</f>
        <v>78139.5</v>
      </c>
      <c r="M54" s="60">
        <v>70038.83</v>
      </c>
      <c r="N54" s="60">
        <v>4393.0600000000004</v>
      </c>
      <c r="O54" s="45"/>
      <c r="P54" s="45"/>
      <c r="Q54" s="45"/>
      <c r="R54" s="45"/>
      <c r="S54" s="45"/>
      <c r="T54" s="45"/>
      <c r="U54" s="60">
        <v>396886.69</v>
      </c>
      <c r="V54" s="60">
        <f>24894.04+48852.4</f>
        <v>73746.44</v>
      </c>
      <c r="W54" s="67"/>
      <c r="X54" s="118"/>
      <c r="Y54" s="154">
        <f>'5 lentelė'!R53</f>
        <v>2018</v>
      </c>
      <c r="Z54" s="155">
        <f>'5 lentelė'!S53</f>
        <v>0</v>
      </c>
      <c r="AA54" s="152">
        <f>IF(YEAR(Z54)=2018,AB54,0)</f>
        <v>0</v>
      </c>
      <c r="AB54" s="117">
        <v>1</v>
      </c>
      <c r="AC54" s="161">
        <v>42</v>
      </c>
      <c r="AD54" s="161" t="s">
        <v>100</v>
      </c>
      <c r="AE54" s="161"/>
      <c r="AF54" s="161"/>
      <c r="AG54" s="162"/>
      <c r="AH54" s="161"/>
      <c r="AI54" s="161"/>
      <c r="AJ54" s="161"/>
      <c r="AK54" s="161"/>
      <c r="AL54" s="161"/>
    </row>
    <row r="55" spans="2:38" ht="15" customHeight="1" x14ac:dyDescent="0.25">
      <c r="B55" s="69" t="s">
        <v>664</v>
      </c>
      <c r="C55" s="70"/>
      <c r="D55" s="407" t="s">
        <v>659</v>
      </c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9"/>
      <c r="Y55" s="168"/>
      <c r="Z55" s="169"/>
      <c r="AA55" s="170"/>
      <c r="AB55" s="171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</row>
    <row r="56" spans="2:38" ht="15" customHeight="1" x14ac:dyDescent="0.25">
      <c r="B56" s="69" t="s">
        <v>665</v>
      </c>
      <c r="C56" s="70"/>
      <c r="D56" s="407" t="s">
        <v>437</v>
      </c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9"/>
      <c r="Y56" s="168"/>
      <c r="Z56" s="169"/>
      <c r="AA56" s="170"/>
      <c r="AB56" s="171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</row>
    <row r="57" spans="2:38" ht="15" customHeight="1" x14ac:dyDescent="0.25">
      <c r="B57" s="69" t="s">
        <v>666</v>
      </c>
      <c r="C57" s="70"/>
      <c r="D57" s="407" t="s">
        <v>438</v>
      </c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9"/>
      <c r="Y57" s="168"/>
      <c r="Z57" s="169"/>
      <c r="AA57" s="170"/>
      <c r="AB57" s="171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</row>
    <row r="58" spans="2:38" ht="15" customHeight="1" x14ac:dyDescent="0.25">
      <c r="B58" s="79" t="s">
        <v>439</v>
      </c>
      <c r="C58" s="68"/>
      <c r="D58" s="410" t="s">
        <v>440</v>
      </c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2"/>
      <c r="Y58" s="174"/>
      <c r="Z58" s="175"/>
      <c r="AA58" s="176"/>
      <c r="AB58" s="128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</row>
    <row r="59" spans="2:38" ht="36" x14ac:dyDescent="0.25">
      <c r="B59" s="59" t="s">
        <v>441</v>
      </c>
      <c r="C59" s="41"/>
      <c r="D59" s="75" t="s">
        <v>442</v>
      </c>
      <c r="E59" s="55" t="s">
        <v>294</v>
      </c>
      <c r="F59" s="55" t="s">
        <v>443</v>
      </c>
      <c r="G59" s="55" t="s">
        <v>444</v>
      </c>
      <c r="H59" s="54" t="s">
        <v>445</v>
      </c>
      <c r="I59" s="55" t="s">
        <v>298</v>
      </c>
      <c r="J59" s="57"/>
      <c r="K59" s="45">
        <f t="shared" ref="K59:L62" si="7">M59+O59+Q59+S59+U59+W59</f>
        <v>348722.37</v>
      </c>
      <c r="L59" s="45">
        <f t="shared" si="7"/>
        <v>110593.37</v>
      </c>
      <c r="M59" s="49">
        <v>26154.19</v>
      </c>
      <c r="N59" s="49"/>
      <c r="O59" s="49">
        <v>26154.18</v>
      </c>
      <c r="P59" s="49">
        <v>4240.54</v>
      </c>
      <c r="Q59" s="62"/>
      <c r="R59" s="62"/>
      <c r="S59" s="45"/>
      <c r="T59" s="45"/>
      <c r="U59" s="45">
        <v>296414</v>
      </c>
      <c r="V59" s="45">
        <f>48059.46+26446.64+31846.73</f>
        <v>106352.83</v>
      </c>
      <c r="W59" s="67"/>
      <c r="X59" s="67"/>
      <c r="Y59" s="154">
        <f>'5 lentelė'!R58</f>
        <v>2019</v>
      </c>
      <c r="Z59" s="155">
        <f>'5 lentelė'!S58</f>
        <v>0</v>
      </c>
      <c r="AA59" s="152">
        <f>IF(YEAR(Z59)=2018,AB59,0)</f>
        <v>0</v>
      </c>
      <c r="AB59" s="117">
        <v>1</v>
      </c>
      <c r="AC59" s="161">
        <v>22</v>
      </c>
      <c r="AD59" s="161" t="s">
        <v>81</v>
      </c>
      <c r="AE59" s="161"/>
      <c r="AF59" s="161"/>
      <c r="AG59" s="165"/>
      <c r="AH59" s="161"/>
      <c r="AI59" s="161"/>
      <c r="AJ59" s="161"/>
      <c r="AK59" s="161"/>
      <c r="AL59" s="161"/>
    </row>
    <row r="60" spans="2:38" ht="24" x14ac:dyDescent="0.25">
      <c r="B60" s="59" t="s">
        <v>450</v>
      </c>
      <c r="C60" s="41"/>
      <c r="D60" s="75" t="s">
        <v>451</v>
      </c>
      <c r="E60" s="55" t="s">
        <v>308</v>
      </c>
      <c r="F60" s="55" t="s">
        <v>443</v>
      </c>
      <c r="G60" s="55" t="s">
        <v>349</v>
      </c>
      <c r="H60" s="54" t="s">
        <v>445</v>
      </c>
      <c r="I60" s="55" t="s">
        <v>298</v>
      </c>
      <c r="J60" s="57"/>
      <c r="K60" s="45">
        <f t="shared" si="7"/>
        <v>134057.64705882352</v>
      </c>
      <c r="L60" s="45">
        <f t="shared" si="7"/>
        <v>26036.98</v>
      </c>
      <c r="M60" s="49">
        <f>U60*15/85/2</f>
        <v>10054.323529411764</v>
      </c>
      <c r="N60" s="49"/>
      <c r="O60" s="49">
        <f>M60</f>
        <v>10054.323529411764</v>
      </c>
      <c r="P60" s="49"/>
      <c r="Q60" s="62"/>
      <c r="R60" s="62"/>
      <c r="S60" s="45"/>
      <c r="T60" s="45"/>
      <c r="U60" s="45">
        <v>113949</v>
      </c>
      <c r="V60" s="45">
        <f>6630+8195.25+11211.73</f>
        <v>26036.98</v>
      </c>
      <c r="W60" s="67"/>
      <c r="X60" s="67"/>
      <c r="Y60" s="154">
        <f>'5 lentelė'!R59</f>
        <v>2019</v>
      </c>
      <c r="Z60" s="155">
        <f>'5 lentelė'!S59</f>
        <v>0</v>
      </c>
      <c r="AA60" s="152">
        <f t="shared" ref="AA60:AA62" si="8">IF(YEAR(Z60)=2018,AB60,0)</f>
        <v>0</v>
      </c>
      <c r="AB60" s="117">
        <v>1</v>
      </c>
      <c r="AC60" s="161">
        <v>22</v>
      </c>
      <c r="AD60" s="161" t="s">
        <v>81</v>
      </c>
      <c r="AE60" s="161"/>
      <c r="AF60" s="161"/>
      <c r="AG60" s="165"/>
      <c r="AH60" s="161"/>
      <c r="AI60" s="161"/>
      <c r="AJ60" s="161"/>
      <c r="AK60" s="161"/>
      <c r="AL60" s="161"/>
    </row>
    <row r="61" spans="2:38" ht="24" x14ac:dyDescent="0.25">
      <c r="B61" s="59" t="s">
        <v>452</v>
      </c>
      <c r="C61" s="41"/>
      <c r="D61" s="75" t="s">
        <v>453</v>
      </c>
      <c r="E61" s="55" t="s">
        <v>328</v>
      </c>
      <c r="F61" s="55" t="s">
        <v>443</v>
      </c>
      <c r="G61" s="55" t="s">
        <v>356</v>
      </c>
      <c r="H61" s="54" t="s">
        <v>445</v>
      </c>
      <c r="I61" s="55" t="s">
        <v>298</v>
      </c>
      <c r="J61" s="57"/>
      <c r="K61" s="45">
        <f t="shared" si="7"/>
        <v>394072</v>
      </c>
      <c r="L61" s="45">
        <f t="shared" si="7"/>
        <v>11783.99</v>
      </c>
      <c r="M61" s="49">
        <v>29556</v>
      </c>
      <c r="N61" s="49">
        <v>883.8</v>
      </c>
      <c r="O61" s="49">
        <v>29555</v>
      </c>
      <c r="P61" s="49">
        <v>883.8</v>
      </c>
      <c r="Q61" s="45"/>
      <c r="R61" s="45"/>
      <c r="S61" s="45"/>
      <c r="T61" s="45"/>
      <c r="U61" s="45">
        <v>334961</v>
      </c>
      <c r="V61" s="45">
        <v>10016.39</v>
      </c>
      <c r="W61" s="67"/>
      <c r="X61" s="67"/>
      <c r="Y61" s="154">
        <f>'5 lentelė'!R60</f>
        <v>2020</v>
      </c>
      <c r="Z61" s="155">
        <f>'5 lentelė'!S60</f>
        <v>0</v>
      </c>
      <c r="AA61" s="152">
        <f t="shared" si="8"/>
        <v>0</v>
      </c>
      <c r="AB61" s="117">
        <v>1</v>
      </c>
      <c r="AC61" s="161">
        <v>22</v>
      </c>
      <c r="AD61" s="161" t="s">
        <v>81</v>
      </c>
      <c r="AE61" s="161"/>
      <c r="AF61" s="161"/>
      <c r="AG61" s="165"/>
      <c r="AH61" s="161"/>
      <c r="AI61" s="161"/>
      <c r="AJ61" s="161"/>
      <c r="AK61" s="161"/>
      <c r="AL61" s="161"/>
    </row>
    <row r="62" spans="2:38" ht="24" x14ac:dyDescent="0.25">
      <c r="B62" s="59" t="s">
        <v>456</v>
      </c>
      <c r="C62" s="41"/>
      <c r="D62" s="75" t="s">
        <v>457</v>
      </c>
      <c r="E62" s="55" t="s">
        <v>304</v>
      </c>
      <c r="F62" s="55" t="s">
        <v>443</v>
      </c>
      <c r="G62" s="55" t="s">
        <v>320</v>
      </c>
      <c r="H62" s="54" t="s">
        <v>445</v>
      </c>
      <c r="I62" s="55" t="s">
        <v>298</v>
      </c>
      <c r="J62" s="57"/>
      <c r="K62" s="45">
        <f t="shared" si="7"/>
        <v>544762.36</v>
      </c>
      <c r="L62" s="45">
        <f t="shared" si="7"/>
        <v>0</v>
      </c>
      <c r="M62" s="49">
        <v>40857.18</v>
      </c>
      <c r="N62" s="49"/>
      <c r="O62" s="49">
        <v>40857.18</v>
      </c>
      <c r="P62" s="49"/>
      <c r="Q62" s="63"/>
      <c r="R62" s="63"/>
      <c r="S62" s="45"/>
      <c r="T62" s="45"/>
      <c r="U62" s="45">
        <v>463048</v>
      </c>
      <c r="V62" s="45"/>
      <c r="W62" s="67"/>
      <c r="X62" s="67"/>
      <c r="Y62" s="154">
        <f>'5 lentelė'!R61</f>
        <v>2019</v>
      </c>
      <c r="Z62" s="155">
        <f>'5 lentelė'!S61</f>
        <v>0</v>
      </c>
      <c r="AA62" s="152">
        <f t="shared" si="8"/>
        <v>0</v>
      </c>
      <c r="AB62" s="117">
        <v>1</v>
      </c>
      <c r="AC62" s="161">
        <v>22</v>
      </c>
      <c r="AD62" s="161" t="s">
        <v>81</v>
      </c>
      <c r="AE62" s="161"/>
      <c r="AF62" s="161"/>
      <c r="AG62" s="165"/>
      <c r="AH62" s="161"/>
      <c r="AI62" s="161"/>
      <c r="AJ62" s="161"/>
      <c r="AK62" s="161"/>
      <c r="AL62" s="161"/>
    </row>
    <row r="63" spans="2:38" ht="15" customHeight="1" x14ac:dyDescent="0.25">
      <c r="B63" s="79" t="s">
        <v>458</v>
      </c>
      <c r="C63" s="68"/>
      <c r="D63" s="410" t="s">
        <v>459</v>
      </c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12"/>
      <c r="Y63" s="174"/>
      <c r="Z63" s="175"/>
      <c r="AA63" s="176"/>
      <c r="AB63" s="128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</row>
    <row r="64" spans="2:38" ht="36" x14ac:dyDescent="0.25">
      <c r="B64" s="59" t="s">
        <v>460</v>
      </c>
      <c r="C64" s="41"/>
      <c r="D64" s="75" t="s">
        <v>461</v>
      </c>
      <c r="E64" s="55" t="s">
        <v>308</v>
      </c>
      <c r="F64" s="55" t="s">
        <v>443</v>
      </c>
      <c r="G64" s="55" t="s">
        <v>349</v>
      </c>
      <c r="H64" s="55" t="s">
        <v>462</v>
      </c>
      <c r="I64" s="55" t="s">
        <v>298</v>
      </c>
      <c r="J64" s="57"/>
      <c r="K64" s="45">
        <f t="shared" ref="K64:L67" si="9">M64+O64+Q64+S64+U64+W64</f>
        <v>148515.76</v>
      </c>
      <c r="L64" s="45">
        <f t="shared" si="9"/>
        <v>0</v>
      </c>
      <c r="M64" s="45">
        <v>24397.759999999998</v>
      </c>
      <c r="N64" s="45"/>
      <c r="O64" s="45"/>
      <c r="P64" s="45"/>
      <c r="Q64" s="45"/>
      <c r="R64" s="45"/>
      <c r="S64" s="45"/>
      <c r="T64" s="45"/>
      <c r="U64" s="45">
        <v>124118</v>
      </c>
      <c r="V64" s="45"/>
      <c r="W64" s="67"/>
      <c r="X64" s="118"/>
      <c r="Y64" s="154">
        <f>'5 lentelė'!R63</f>
        <v>2019</v>
      </c>
      <c r="Z64" s="155">
        <f>'5 lentelė'!S63</f>
        <v>0</v>
      </c>
      <c r="AA64" s="152">
        <f>IF(YEAR(Z64)=2018,AB64,0)</f>
        <v>0</v>
      </c>
      <c r="AB64" s="117">
        <v>1</v>
      </c>
      <c r="AC64" s="161">
        <v>24</v>
      </c>
      <c r="AD64" s="161" t="s">
        <v>83</v>
      </c>
      <c r="AE64" s="161"/>
      <c r="AF64" s="161"/>
      <c r="AG64" s="165"/>
      <c r="AH64" s="161"/>
      <c r="AI64" s="161"/>
      <c r="AJ64" s="161"/>
      <c r="AK64" s="161"/>
      <c r="AL64" s="161"/>
    </row>
    <row r="65" spans="2:38" ht="36" x14ac:dyDescent="0.25">
      <c r="B65" s="59" t="s">
        <v>465</v>
      </c>
      <c r="C65" s="41"/>
      <c r="D65" s="75" t="s">
        <v>466</v>
      </c>
      <c r="E65" s="55" t="s">
        <v>328</v>
      </c>
      <c r="F65" s="55" t="s">
        <v>443</v>
      </c>
      <c r="G65" s="55" t="s">
        <v>356</v>
      </c>
      <c r="H65" s="55" t="s">
        <v>462</v>
      </c>
      <c r="I65" s="55" t="s">
        <v>298</v>
      </c>
      <c r="J65" s="57"/>
      <c r="K65" s="45">
        <f t="shared" si="9"/>
        <v>181044</v>
      </c>
      <c r="L65" s="45">
        <f t="shared" si="9"/>
        <v>0</v>
      </c>
      <c r="M65" s="45">
        <v>27157</v>
      </c>
      <c r="N65" s="45"/>
      <c r="O65" s="45"/>
      <c r="P65" s="45"/>
      <c r="Q65" s="45"/>
      <c r="R65" s="45"/>
      <c r="S65" s="45"/>
      <c r="T65" s="45"/>
      <c r="U65" s="45">
        <v>153887</v>
      </c>
      <c r="V65" s="45"/>
      <c r="W65" s="67"/>
      <c r="X65" s="118"/>
      <c r="Y65" s="154">
        <f>'5 lentelė'!R64</f>
        <v>2019</v>
      </c>
      <c r="Z65" s="155">
        <f>'5 lentelė'!S64</f>
        <v>0</v>
      </c>
      <c r="AA65" s="152">
        <f t="shared" ref="AA65:AA67" si="10">IF(YEAR(Z65)=2018,AB65,0)</f>
        <v>0</v>
      </c>
      <c r="AB65" s="117">
        <v>1</v>
      </c>
      <c r="AC65" s="161">
        <v>24</v>
      </c>
      <c r="AD65" s="161" t="s">
        <v>83</v>
      </c>
      <c r="AE65" s="161"/>
      <c r="AF65" s="161"/>
      <c r="AG65" s="165"/>
      <c r="AH65" s="161"/>
      <c r="AI65" s="161"/>
      <c r="AJ65" s="161"/>
      <c r="AK65" s="161"/>
      <c r="AL65" s="161"/>
    </row>
    <row r="66" spans="2:38" ht="36" x14ac:dyDescent="0.25">
      <c r="B66" s="59" t="s">
        <v>467</v>
      </c>
      <c r="C66" s="41"/>
      <c r="D66" s="114" t="s">
        <v>468</v>
      </c>
      <c r="E66" s="55" t="s">
        <v>304</v>
      </c>
      <c r="F66" s="55" t="s">
        <v>443</v>
      </c>
      <c r="G66" s="55" t="s">
        <v>320</v>
      </c>
      <c r="H66" s="55" t="s">
        <v>462</v>
      </c>
      <c r="I66" s="55" t="s">
        <v>298</v>
      </c>
      <c r="J66" s="57"/>
      <c r="K66" s="45">
        <f t="shared" si="9"/>
        <v>250274.11</v>
      </c>
      <c r="L66" s="45">
        <f t="shared" si="9"/>
        <v>11295.59</v>
      </c>
      <c r="M66" s="45">
        <v>37541.11</v>
      </c>
      <c r="N66" s="45"/>
      <c r="O66" s="45"/>
      <c r="P66" s="45"/>
      <c r="Q66" s="45"/>
      <c r="R66" s="45"/>
      <c r="S66" s="45"/>
      <c r="T66" s="45"/>
      <c r="U66" s="45">
        <v>212733</v>
      </c>
      <c r="V66" s="45">
        <v>11295.59</v>
      </c>
      <c r="W66" s="67"/>
      <c r="X66" s="67"/>
      <c r="Y66" s="154">
        <f>'5 lentelė'!R65</f>
        <v>2020</v>
      </c>
      <c r="Z66" s="155">
        <f>'5 lentelė'!S65</f>
        <v>0</v>
      </c>
      <c r="AA66" s="152">
        <f t="shared" si="10"/>
        <v>0</v>
      </c>
      <c r="AB66" s="117">
        <v>1</v>
      </c>
      <c r="AC66" s="161">
        <v>24</v>
      </c>
      <c r="AD66" s="161" t="s">
        <v>83</v>
      </c>
      <c r="AE66" s="161"/>
      <c r="AF66" s="161"/>
      <c r="AG66" s="165"/>
      <c r="AH66" s="161"/>
      <c r="AI66" s="161"/>
      <c r="AJ66" s="161"/>
      <c r="AK66" s="161"/>
      <c r="AL66" s="161"/>
    </row>
    <row r="67" spans="2:38" ht="36" x14ac:dyDescent="0.25">
      <c r="B67" s="59" t="s">
        <v>469</v>
      </c>
      <c r="C67" s="41"/>
      <c r="D67" s="75" t="s">
        <v>470</v>
      </c>
      <c r="E67" s="55" t="s">
        <v>471</v>
      </c>
      <c r="F67" s="55" t="s">
        <v>443</v>
      </c>
      <c r="G67" s="55" t="s">
        <v>444</v>
      </c>
      <c r="H67" s="55" t="s">
        <v>462</v>
      </c>
      <c r="I67" s="55" t="s">
        <v>298</v>
      </c>
      <c r="J67" s="57"/>
      <c r="K67" s="45">
        <f t="shared" si="9"/>
        <v>92842.82</v>
      </c>
      <c r="L67" s="45">
        <f t="shared" si="9"/>
        <v>4491.99</v>
      </c>
      <c r="M67" s="45">
        <v>28431.82</v>
      </c>
      <c r="N67" s="45">
        <v>1375.61</v>
      </c>
      <c r="O67" s="45"/>
      <c r="P67" s="45"/>
      <c r="Q67" s="45"/>
      <c r="R67" s="45"/>
      <c r="S67" s="45"/>
      <c r="T67" s="45"/>
      <c r="U67" s="45">
        <v>64411</v>
      </c>
      <c r="V67" s="45">
        <v>3116.38</v>
      </c>
      <c r="W67" s="67"/>
      <c r="X67" s="118"/>
      <c r="Y67" s="154">
        <f>'5 lentelė'!R66</f>
        <v>2020</v>
      </c>
      <c r="Z67" s="155">
        <f>'5 lentelė'!S66</f>
        <v>0</v>
      </c>
      <c r="AA67" s="152">
        <f t="shared" si="10"/>
        <v>0</v>
      </c>
      <c r="AB67" s="117">
        <v>1</v>
      </c>
      <c r="AC67" s="161">
        <v>24</v>
      </c>
      <c r="AD67" s="161" t="s">
        <v>83</v>
      </c>
      <c r="AE67" s="161"/>
      <c r="AF67" s="161"/>
      <c r="AG67" s="165"/>
      <c r="AH67" s="161"/>
      <c r="AI67" s="161"/>
      <c r="AJ67" s="161"/>
      <c r="AK67" s="161"/>
      <c r="AL67" s="161"/>
    </row>
    <row r="68" spans="2:38" ht="15" customHeight="1" x14ac:dyDescent="0.25">
      <c r="B68" s="79" t="s">
        <v>472</v>
      </c>
      <c r="C68" s="68"/>
      <c r="D68" s="410" t="s">
        <v>473</v>
      </c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2"/>
      <c r="Y68" s="174"/>
      <c r="Z68" s="175"/>
      <c r="AA68" s="176"/>
      <c r="AB68" s="128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</row>
    <row r="69" spans="2:38" ht="24" x14ac:dyDescent="0.25">
      <c r="B69" s="59" t="s">
        <v>474</v>
      </c>
      <c r="C69" s="41"/>
      <c r="D69" s="74" t="s">
        <v>475</v>
      </c>
      <c r="E69" s="54" t="s">
        <v>294</v>
      </c>
      <c r="F69" s="55" t="s">
        <v>443</v>
      </c>
      <c r="G69" s="55" t="s">
        <v>444</v>
      </c>
      <c r="H69" s="55" t="s">
        <v>476</v>
      </c>
      <c r="I69" s="55" t="s">
        <v>298</v>
      </c>
      <c r="J69" s="57"/>
      <c r="K69" s="45">
        <f t="shared" ref="K69:L71" si="11">M69+O69+Q69+S69+U69+W69</f>
        <v>809630.41999999993</v>
      </c>
      <c r="L69" s="45">
        <f t="shared" si="11"/>
        <v>8816.51</v>
      </c>
      <c r="M69" s="45">
        <v>553430.44999999995</v>
      </c>
      <c r="N69" s="45"/>
      <c r="O69" s="45">
        <v>20772.97</v>
      </c>
      <c r="P69" s="45"/>
      <c r="Q69" s="45"/>
      <c r="R69" s="45"/>
      <c r="S69" s="45"/>
      <c r="T69" s="45"/>
      <c r="U69" s="45">
        <v>235427</v>
      </c>
      <c r="V69" s="45">
        <f>1000.95+7815.56</f>
        <v>8816.51</v>
      </c>
      <c r="W69" s="67"/>
      <c r="X69" s="67"/>
      <c r="Y69" s="154">
        <f>'5 lentelė'!R68</f>
        <v>2019</v>
      </c>
      <c r="Z69" s="155">
        <f>'5 lentelė'!S68</f>
        <v>0</v>
      </c>
      <c r="AA69" s="152">
        <f>IF(YEAR(Z69)=2018,AB69,0)</f>
        <v>0</v>
      </c>
      <c r="AB69" s="117">
        <v>1</v>
      </c>
      <c r="AC69" s="161">
        <v>23</v>
      </c>
      <c r="AD69" s="161" t="s">
        <v>477</v>
      </c>
      <c r="AE69" s="161"/>
      <c r="AF69" s="161"/>
      <c r="AG69" s="162"/>
      <c r="AH69" s="161"/>
      <c r="AI69" s="161"/>
      <c r="AJ69" s="161"/>
      <c r="AK69" s="161"/>
      <c r="AL69" s="161"/>
    </row>
    <row r="70" spans="2:38" ht="36" x14ac:dyDescent="0.25">
      <c r="B70" s="59" t="s">
        <v>480</v>
      </c>
      <c r="C70" s="41"/>
      <c r="D70" s="74" t="s">
        <v>481</v>
      </c>
      <c r="E70" s="54" t="s">
        <v>328</v>
      </c>
      <c r="F70" s="55" t="s">
        <v>443</v>
      </c>
      <c r="G70" s="55" t="s">
        <v>426</v>
      </c>
      <c r="H70" s="55" t="s">
        <v>476</v>
      </c>
      <c r="I70" s="55" t="s">
        <v>298</v>
      </c>
      <c r="J70" s="57"/>
      <c r="K70" s="45">
        <f t="shared" si="11"/>
        <v>226080</v>
      </c>
      <c r="L70" s="45">
        <f t="shared" si="11"/>
        <v>0</v>
      </c>
      <c r="M70" s="45">
        <v>16956</v>
      </c>
      <c r="N70" s="45"/>
      <c r="O70" s="45">
        <v>16956</v>
      </c>
      <c r="P70" s="45"/>
      <c r="Q70" s="45"/>
      <c r="R70" s="45"/>
      <c r="S70" s="45"/>
      <c r="T70" s="45"/>
      <c r="U70" s="45">
        <v>192168</v>
      </c>
      <c r="V70" s="45"/>
      <c r="W70" s="67"/>
      <c r="X70" s="67"/>
      <c r="Y70" s="154">
        <f>'5 lentelė'!R69</f>
        <v>2020</v>
      </c>
      <c r="Z70" s="155">
        <f>'5 lentelė'!S69</f>
        <v>0</v>
      </c>
      <c r="AA70" s="152">
        <f t="shared" ref="AA70:AA71" si="12">IF(YEAR(Z70)=2018,AB70,0)</f>
        <v>0</v>
      </c>
      <c r="AB70" s="117">
        <v>1</v>
      </c>
      <c r="AC70" s="161">
        <v>23</v>
      </c>
      <c r="AD70" s="161" t="s">
        <v>477</v>
      </c>
      <c r="AE70" s="161"/>
      <c r="AF70" s="161"/>
      <c r="AG70" s="162"/>
      <c r="AH70" s="161"/>
      <c r="AI70" s="161"/>
      <c r="AJ70" s="161"/>
      <c r="AK70" s="161"/>
      <c r="AL70" s="161"/>
    </row>
    <row r="71" spans="2:38" ht="48" x14ac:dyDescent="0.25">
      <c r="B71" s="59" t="s">
        <v>484</v>
      </c>
      <c r="C71" s="41"/>
      <c r="D71" s="74" t="s">
        <v>485</v>
      </c>
      <c r="E71" s="54" t="s">
        <v>304</v>
      </c>
      <c r="F71" s="55" t="s">
        <v>443</v>
      </c>
      <c r="G71" s="55" t="s">
        <v>320</v>
      </c>
      <c r="H71" s="55" t="s">
        <v>476</v>
      </c>
      <c r="I71" s="55" t="s">
        <v>298</v>
      </c>
      <c r="J71" s="57"/>
      <c r="K71" s="45">
        <f t="shared" si="11"/>
        <v>312531.76470588235</v>
      </c>
      <c r="L71" s="45">
        <f t="shared" si="11"/>
        <v>0</v>
      </c>
      <c r="M71" s="45">
        <f>U71*15/85/2</f>
        <v>23439.882352941175</v>
      </c>
      <c r="N71" s="45"/>
      <c r="O71" s="45">
        <f>M71</f>
        <v>23439.882352941175</v>
      </c>
      <c r="P71" s="45"/>
      <c r="Q71" s="45"/>
      <c r="R71" s="45"/>
      <c r="S71" s="45"/>
      <c r="T71" s="45"/>
      <c r="U71" s="45">
        <v>265652</v>
      </c>
      <c r="V71" s="45"/>
      <c r="W71" s="67"/>
      <c r="X71" s="67"/>
      <c r="Y71" s="154">
        <f>'5 lentelė'!R70</f>
        <v>2020</v>
      </c>
      <c r="Z71" s="155">
        <f>'5 lentelė'!S70</f>
        <v>0</v>
      </c>
      <c r="AA71" s="152">
        <f t="shared" si="12"/>
        <v>0</v>
      </c>
      <c r="AB71" s="117">
        <v>1</v>
      </c>
      <c r="AC71" s="161">
        <v>23</v>
      </c>
      <c r="AD71" s="161" t="s">
        <v>477</v>
      </c>
      <c r="AE71" s="161"/>
      <c r="AF71" s="161"/>
      <c r="AG71" s="162"/>
      <c r="AH71" s="161"/>
      <c r="AI71" s="161"/>
      <c r="AJ71" s="161"/>
      <c r="AK71" s="161"/>
      <c r="AL71" s="161"/>
    </row>
    <row r="72" spans="2:38" x14ac:dyDescent="0.25">
      <c r="B72" s="69" t="s">
        <v>667</v>
      </c>
      <c r="C72" s="70"/>
      <c r="D72" s="374" t="s">
        <v>486</v>
      </c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6"/>
      <c r="Y72" s="168"/>
      <c r="Z72" s="169"/>
      <c r="AA72" s="170"/>
      <c r="AB72" s="171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</row>
    <row r="73" spans="2:38" x14ac:dyDescent="0.25">
      <c r="B73" s="79" t="s">
        <v>487</v>
      </c>
      <c r="C73" s="68"/>
      <c r="D73" s="365" t="s">
        <v>488</v>
      </c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7"/>
      <c r="Y73" s="174"/>
      <c r="Z73" s="175"/>
      <c r="AA73" s="176"/>
      <c r="AB73" s="128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</row>
    <row r="74" spans="2:38" ht="24" x14ac:dyDescent="0.25">
      <c r="B74" s="59" t="s">
        <v>489</v>
      </c>
      <c r="C74" s="41"/>
      <c r="D74" s="43" t="s">
        <v>490</v>
      </c>
      <c r="E74" s="54" t="s">
        <v>308</v>
      </c>
      <c r="F74" s="55" t="s">
        <v>491</v>
      </c>
      <c r="G74" s="55" t="s">
        <v>492</v>
      </c>
      <c r="H74" s="202" t="s">
        <v>493</v>
      </c>
      <c r="I74" s="55" t="s">
        <v>298</v>
      </c>
      <c r="J74" s="90"/>
      <c r="K74" s="45">
        <f t="shared" ref="K74:L77" si="13">M74+O74+Q74+S74+U74+W74</f>
        <v>46877.647058823532</v>
      </c>
      <c r="L74" s="45">
        <f t="shared" si="13"/>
        <v>11953.8</v>
      </c>
      <c r="M74" s="45">
        <f>O74</f>
        <v>3515.8235294117649</v>
      </c>
      <c r="N74" s="45"/>
      <c r="O74" s="45">
        <f>7.5*U74/85</f>
        <v>3515.8235294117649</v>
      </c>
      <c r="P74" s="45"/>
      <c r="Q74" s="45"/>
      <c r="R74" s="45"/>
      <c r="S74" s="45"/>
      <c r="T74" s="45"/>
      <c r="U74" s="45">
        <v>39846</v>
      </c>
      <c r="V74" s="45">
        <v>11953.8</v>
      </c>
      <c r="W74" s="67"/>
      <c r="X74" s="67"/>
      <c r="Y74" s="154">
        <f>'5 lentelė'!R73</f>
        <v>2021</v>
      </c>
      <c r="Z74" s="155">
        <f>'5 lentelė'!S73</f>
        <v>0</v>
      </c>
      <c r="AA74" s="152">
        <f>IF(YEAR(Z74)=2018,AB74,0)</f>
        <v>0</v>
      </c>
      <c r="AB74" s="117">
        <v>1</v>
      </c>
      <c r="AC74" s="161">
        <v>47</v>
      </c>
      <c r="AD74" s="161" t="s">
        <v>105</v>
      </c>
      <c r="AE74" s="161"/>
      <c r="AF74" s="161"/>
      <c r="AG74" s="162"/>
      <c r="AH74" s="161"/>
      <c r="AI74" s="161"/>
      <c r="AJ74" s="161"/>
      <c r="AK74" s="161"/>
      <c r="AL74" s="161"/>
    </row>
    <row r="75" spans="2:38" ht="24" x14ac:dyDescent="0.25">
      <c r="B75" s="59" t="s">
        <v>496</v>
      </c>
      <c r="C75" s="41"/>
      <c r="D75" s="43" t="s">
        <v>497</v>
      </c>
      <c r="E75" s="54" t="s">
        <v>498</v>
      </c>
      <c r="F75" s="55" t="s">
        <v>491</v>
      </c>
      <c r="G75" s="55" t="s">
        <v>426</v>
      </c>
      <c r="H75" s="202" t="s">
        <v>493</v>
      </c>
      <c r="I75" s="55" t="s">
        <v>298</v>
      </c>
      <c r="J75" s="90"/>
      <c r="K75" s="45">
        <f t="shared" si="13"/>
        <v>137798.82352941178</v>
      </c>
      <c r="L75" s="45">
        <f t="shared" si="13"/>
        <v>0</v>
      </c>
      <c r="M75" s="45">
        <f t="shared" ref="M75:M77" si="14">O75</f>
        <v>10334.911764705883</v>
      </c>
      <c r="N75" s="45"/>
      <c r="O75" s="45">
        <f t="shared" ref="O75:O77" si="15">7.5*U75/85</f>
        <v>10334.911764705883</v>
      </c>
      <c r="P75" s="45"/>
      <c r="Q75" s="45"/>
      <c r="R75" s="45"/>
      <c r="S75" s="45"/>
      <c r="T75" s="45"/>
      <c r="U75" s="45">
        <v>117129</v>
      </c>
      <c r="V75" s="45"/>
      <c r="W75" s="67"/>
      <c r="X75" s="67"/>
      <c r="Y75" s="154">
        <f>'5 lentelė'!R74</f>
        <v>2021</v>
      </c>
      <c r="Z75" s="155">
        <f>'5 lentelė'!S74</f>
        <v>0</v>
      </c>
      <c r="AA75" s="152">
        <f t="shared" ref="AA75:AA77" si="16">IF(YEAR(Z75)=2018,AB75,0)</f>
        <v>0</v>
      </c>
      <c r="AB75" s="117">
        <v>1</v>
      </c>
      <c r="AC75" s="161">
        <v>47</v>
      </c>
      <c r="AD75" s="161" t="s">
        <v>105</v>
      </c>
      <c r="AE75" s="161"/>
      <c r="AF75" s="161"/>
      <c r="AG75" s="162"/>
      <c r="AH75" s="161"/>
      <c r="AI75" s="161"/>
      <c r="AJ75" s="161"/>
      <c r="AK75" s="161"/>
      <c r="AL75" s="162"/>
    </row>
    <row r="76" spans="2:38" x14ac:dyDescent="0.25">
      <c r="B76" s="59" t="s">
        <v>501</v>
      </c>
      <c r="C76" s="41"/>
      <c r="D76" s="43" t="s">
        <v>502</v>
      </c>
      <c r="E76" s="54" t="s">
        <v>503</v>
      </c>
      <c r="F76" s="55" t="s">
        <v>491</v>
      </c>
      <c r="G76" s="55" t="s">
        <v>504</v>
      </c>
      <c r="H76" s="202" t="s">
        <v>493</v>
      </c>
      <c r="I76" s="55" t="s">
        <v>298</v>
      </c>
      <c r="J76" s="90"/>
      <c r="K76" s="45">
        <f t="shared" si="13"/>
        <v>190492.9411764706</v>
      </c>
      <c r="L76" s="45">
        <f t="shared" si="13"/>
        <v>0</v>
      </c>
      <c r="M76" s="45">
        <f t="shared" si="14"/>
        <v>14286.970588235294</v>
      </c>
      <c r="N76" s="45"/>
      <c r="O76" s="45">
        <f t="shared" si="15"/>
        <v>14286.970588235294</v>
      </c>
      <c r="P76" s="45"/>
      <c r="Q76" s="45"/>
      <c r="R76" s="45"/>
      <c r="S76" s="45"/>
      <c r="T76" s="45"/>
      <c r="U76" s="45">
        <v>161919</v>
      </c>
      <c r="V76" s="45"/>
      <c r="W76" s="67"/>
      <c r="X76" s="67"/>
      <c r="Y76" s="154">
        <f>'5 lentelė'!R75</f>
        <v>2021</v>
      </c>
      <c r="Z76" s="155">
        <f>'5 lentelė'!S75</f>
        <v>0</v>
      </c>
      <c r="AA76" s="152">
        <f t="shared" si="16"/>
        <v>0</v>
      </c>
      <c r="AB76" s="117">
        <v>1</v>
      </c>
      <c r="AC76" s="161">
        <v>47</v>
      </c>
      <c r="AD76" s="161" t="s">
        <v>105</v>
      </c>
      <c r="AE76" s="161"/>
      <c r="AF76" s="161"/>
      <c r="AG76" s="162"/>
      <c r="AH76" s="161"/>
      <c r="AI76" s="161"/>
      <c r="AJ76" s="161"/>
      <c r="AK76" s="161"/>
      <c r="AL76" s="161"/>
    </row>
    <row r="77" spans="2:38" ht="24" x14ac:dyDescent="0.25">
      <c r="B77" s="59" t="s">
        <v>506</v>
      </c>
      <c r="C77" s="41"/>
      <c r="D77" s="43" t="s">
        <v>507</v>
      </c>
      <c r="E77" s="54" t="s">
        <v>508</v>
      </c>
      <c r="F77" s="55" t="s">
        <v>491</v>
      </c>
      <c r="G77" s="55" t="s">
        <v>509</v>
      </c>
      <c r="H77" s="202" t="s">
        <v>493</v>
      </c>
      <c r="I77" s="55" t="s">
        <v>298</v>
      </c>
      <c r="J77" s="90"/>
      <c r="K77" s="45">
        <f t="shared" si="13"/>
        <v>121941.17647058824</v>
      </c>
      <c r="L77" s="45">
        <f t="shared" si="13"/>
        <v>11027.03</v>
      </c>
      <c r="M77" s="45">
        <f t="shared" si="14"/>
        <v>9145.5882352941171</v>
      </c>
      <c r="N77" s="45"/>
      <c r="O77" s="45">
        <f t="shared" si="15"/>
        <v>9145.5882352941171</v>
      </c>
      <c r="P77" s="45"/>
      <c r="Q77" s="45"/>
      <c r="R77" s="45"/>
      <c r="S77" s="45"/>
      <c r="T77" s="45"/>
      <c r="U77" s="45">
        <v>103650</v>
      </c>
      <c r="V77" s="45">
        <v>11027.03</v>
      </c>
      <c r="W77" s="67"/>
      <c r="X77" s="67"/>
      <c r="Y77" s="154">
        <f>'5 lentelė'!R76</f>
        <v>2022</v>
      </c>
      <c r="Z77" s="155">
        <f>'5 lentelė'!S76</f>
        <v>0</v>
      </c>
      <c r="AA77" s="152">
        <f t="shared" si="16"/>
        <v>0</v>
      </c>
      <c r="AB77" s="117">
        <v>1</v>
      </c>
      <c r="AC77" s="161">
        <v>47</v>
      </c>
      <c r="AD77" s="161" t="s">
        <v>105</v>
      </c>
      <c r="AE77" s="162"/>
      <c r="AF77" s="161"/>
      <c r="AG77" s="162"/>
      <c r="AH77" s="161"/>
      <c r="AI77" s="161"/>
      <c r="AJ77" s="161"/>
      <c r="AK77" s="161"/>
      <c r="AL77" s="161"/>
    </row>
    <row r="78" spans="2:38" x14ac:dyDescent="0.25">
      <c r="B78" s="79" t="s">
        <v>511</v>
      </c>
      <c r="C78" s="68"/>
      <c r="D78" s="365" t="s">
        <v>512</v>
      </c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7"/>
      <c r="Y78" s="174"/>
      <c r="Z78" s="175"/>
      <c r="AA78" s="176"/>
      <c r="AB78" s="128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</row>
    <row r="79" spans="2:38" ht="48" x14ac:dyDescent="0.25">
      <c r="B79" s="235" t="s">
        <v>707</v>
      </c>
      <c r="C79" s="235"/>
      <c r="D79" s="234" t="s">
        <v>708</v>
      </c>
      <c r="E79" s="235" t="s">
        <v>709</v>
      </c>
      <c r="F79" s="235" t="s">
        <v>491</v>
      </c>
      <c r="G79" s="236" t="s">
        <v>426</v>
      </c>
      <c r="H79" s="235" t="s">
        <v>710</v>
      </c>
      <c r="I79" s="235" t="s">
        <v>298</v>
      </c>
      <c r="J79" s="57"/>
      <c r="K79" s="45">
        <f t="shared" ref="K79" si="17">M79+O79+Q79+S79+U79+W79</f>
        <v>12312.237647058824</v>
      </c>
      <c r="L79" s="45">
        <f t="shared" ref="L79" si="18">N79+P79+R79+T79+V79+X79</f>
        <v>0</v>
      </c>
      <c r="M79" s="91">
        <v>923.42</v>
      </c>
      <c r="N79" s="45"/>
      <c r="O79" s="91">
        <v>923.4176470588236</v>
      </c>
      <c r="P79" s="91"/>
      <c r="Q79" s="45"/>
      <c r="R79" s="45"/>
      <c r="S79" s="45"/>
      <c r="T79" s="45"/>
      <c r="U79" s="91">
        <v>10465.4</v>
      </c>
      <c r="V79" s="45"/>
      <c r="W79" s="67"/>
      <c r="X79" s="67"/>
      <c r="Y79" s="154">
        <f>'5 lentelė'!R78</f>
        <v>2021</v>
      </c>
      <c r="Z79" s="155">
        <f>'5 lentelė'!S78</f>
        <v>0</v>
      </c>
      <c r="AA79" s="152">
        <f>IF(YEAR(Z79)=2018,AB79,0)</f>
        <v>0</v>
      </c>
      <c r="AB79" s="117">
        <v>1</v>
      </c>
      <c r="AC79" s="292">
        <v>47</v>
      </c>
      <c r="AD79" s="291" t="s">
        <v>105</v>
      </c>
      <c r="AE79" s="158"/>
      <c r="AF79" s="158"/>
      <c r="AG79" s="158"/>
      <c r="AH79" s="158"/>
      <c r="AI79" s="158"/>
      <c r="AJ79" s="158"/>
      <c r="AK79" s="158"/>
      <c r="AL79" s="158"/>
    </row>
    <row r="80" spans="2:38" ht="36" x14ac:dyDescent="0.25">
      <c r="B80" s="235" t="s">
        <v>711</v>
      </c>
      <c r="C80" s="235"/>
      <c r="D80" s="234" t="s">
        <v>712</v>
      </c>
      <c r="E80" s="235" t="s">
        <v>308</v>
      </c>
      <c r="F80" s="235" t="s">
        <v>491</v>
      </c>
      <c r="G80" s="236" t="s">
        <v>713</v>
      </c>
      <c r="H80" s="235" t="s">
        <v>710</v>
      </c>
      <c r="I80" s="235" t="s">
        <v>298</v>
      </c>
      <c r="J80" s="57"/>
      <c r="K80" s="45">
        <f t="shared" ref="K80:K82" si="19">M80+O80+Q80+S80+U80+W80</f>
        <v>4317</v>
      </c>
      <c r="L80" s="45">
        <f t="shared" ref="L80:L82" si="20">N80+P80+R80+T80+V80+X80</f>
        <v>1100.8800000000001</v>
      </c>
      <c r="M80" s="91">
        <v>323.7</v>
      </c>
      <c r="N80" s="45"/>
      <c r="O80" s="91">
        <v>323.7</v>
      </c>
      <c r="P80" s="91"/>
      <c r="Q80" s="45"/>
      <c r="R80" s="45"/>
      <c r="S80" s="45"/>
      <c r="T80" s="45"/>
      <c r="U80" s="91">
        <v>3669.6</v>
      </c>
      <c r="V80" s="45">
        <v>1100.8800000000001</v>
      </c>
      <c r="W80" s="67"/>
      <c r="X80" s="67"/>
      <c r="Y80" s="154">
        <f>'5 lentelė'!R79</f>
        <v>2021</v>
      </c>
      <c r="Z80" s="155">
        <f>'5 lentelė'!S79</f>
        <v>0</v>
      </c>
      <c r="AA80" s="152">
        <f t="shared" ref="AA80:AA82" si="21">IF(YEAR(Z80)=2018,AB80,0)</f>
        <v>0</v>
      </c>
      <c r="AB80" s="117">
        <v>1</v>
      </c>
      <c r="AC80" s="292">
        <v>47</v>
      </c>
      <c r="AD80" s="291" t="s">
        <v>105</v>
      </c>
      <c r="AE80" s="158"/>
      <c r="AF80" s="158"/>
      <c r="AG80" s="158"/>
      <c r="AH80" s="158"/>
      <c r="AI80" s="158"/>
      <c r="AJ80" s="158"/>
      <c r="AK80" s="158"/>
      <c r="AL80" s="158"/>
    </row>
    <row r="81" spans="2:38" ht="48" x14ac:dyDescent="0.25">
      <c r="B81" s="238" t="s">
        <v>714</v>
      </c>
      <c r="C81" s="238"/>
      <c r="D81" s="237" t="s">
        <v>715</v>
      </c>
      <c r="E81" s="236" t="s">
        <v>716</v>
      </c>
      <c r="F81" s="236" t="s">
        <v>491</v>
      </c>
      <c r="G81" s="236" t="s">
        <v>575</v>
      </c>
      <c r="H81" s="236" t="s">
        <v>710</v>
      </c>
      <c r="I81" s="236" t="s">
        <v>298</v>
      </c>
      <c r="J81" s="57"/>
      <c r="K81" s="45">
        <f t="shared" si="19"/>
        <v>10980</v>
      </c>
      <c r="L81" s="45">
        <f t="shared" si="20"/>
        <v>933.3</v>
      </c>
      <c r="M81" s="91">
        <v>823.5</v>
      </c>
      <c r="N81" s="45"/>
      <c r="O81" s="91">
        <v>823.5</v>
      </c>
      <c r="P81" s="91"/>
      <c r="Q81" s="45"/>
      <c r="R81" s="45"/>
      <c r="S81" s="45"/>
      <c r="T81" s="45"/>
      <c r="U81" s="91">
        <v>9333</v>
      </c>
      <c r="V81" s="45">
        <v>933.3</v>
      </c>
      <c r="W81" s="67"/>
      <c r="X81" s="67"/>
      <c r="Y81" s="154">
        <f>'5 lentelė'!R80</f>
        <v>2019</v>
      </c>
      <c r="Z81" s="155">
        <f>'5 lentelė'!S80</f>
        <v>0</v>
      </c>
      <c r="AA81" s="152">
        <f t="shared" si="21"/>
        <v>0</v>
      </c>
      <c r="AB81" s="117">
        <v>1</v>
      </c>
      <c r="AC81" s="292">
        <v>47</v>
      </c>
      <c r="AD81" s="291" t="s">
        <v>105</v>
      </c>
      <c r="AE81" s="158"/>
      <c r="AF81" s="158"/>
      <c r="AG81" s="158"/>
      <c r="AH81" s="158"/>
      <c r="AI81" s="158"/>
      <c r="AJ81" s="158"/>
      <c r="AK81" s="158"/>
      <c r="AL81" s="158"/>
    </row>
    <row r="82" spans="2:38" ht="36" x14ac:dyDescent="0.25">
      <c r="B82" s="238" t="s">
        <v>717</v>
      </c>
      <c r="C82" s="238"/>
      <c r="D82" s="237" t="s">
        <v>718</v>
      </c>
      <c r="E82" s="236" t="s">
        <v>719</v>
      </c>
      <c r="F82" s="236" t="s">
        <v>491</v>
      </c>
      <c r="G82" s="236" t="s">
        <v>390</v>
      </c>
      <c r="H82" s="236" t="s">
        <v>710</v>
      </c>
      <c r="I82" s="236" t="s">
        <v>298</v>
      </c>
      <c r="J82" s="57"/>
      <c r="K82" s="45">
        <f t="shared" si="19"/>
        <v>17152.939999999999</v>
      </c>
      <c r="L82" s="45">
        <f t="shared" si="20"/>
        <v>0</v>
      </c>
      <c r="M82" s="91">
        <v>1286.47</v>
      </c>
      <c r="N82" s="45"/>
      <c r="O82" s="91">
        <v>1286.47</v>
      </c>
      <c r="P82" s="91"/>
      <c r="Q82" s="45"/>
      <c r="R82" s="45"/>
      <c r="S82" s="45"/>
      <c r="T82" s="45"/>
      <c r="U82" s="91">
        <v>14580</v>
      </c>
      <c r="V82" s="45"/>
      <c r="W82" s="67"/>
      <c r="X82" s="67"/>
      <c r="Y82" s="154">
        <f>'5 lentelė'!R81</f>
        <v>2021</v>
      </c>
      <c r="Z82" s="155">
        <f>'5 lentelė'!S81</f>
        <v>0</v>
      </c>
      <c r="AA82" s="152">
        <f t="shared" si="21"/>
        <v>0</v>
      </c>
      <c r="AB82" s="117">
        <v>1</v>
      </c>
      <c r="AC82" s="292">
        <v>47</v>
      </c>
      <c r="AD82" s="291" t="s">
        <v>105</v>
      </c>
      <c r="AE82" s="158"/>
      <c r="AF82" s="158"/>
      <c r="AG82" s="158"/>
      <c r="AH82" s="158"/>
      <c r="AI82" s="158"/>
      <c r="AJ82" s="158"/>
      <c r="AK82" s="158"/>
      <c r="AL82" s="158"/>
    </row>
    <row r="83" spans="2:38" x14ac:dyDescent="0.25">
      <c r="B83" s="79" t="s">
        <v>513</v>
      </c>
      <c r="C83" s="68"/>
      <c r="D83" s="365" t="s">
        <v>514</v>
      </c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7"/>
      <c r="Y83" s="174"/>
      <c r="Z83" s="175"/>
      <c r="AA83" s="176"/>
      <c r="AB83" s="128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</row>
    <row r="84" spans="2:38" ht="24" x14ac:dyDescent="0.25">
      <c r="B84" s="159" t="s">
        <v>720</v>
      </c>
      <c r="C84" s="159"/>
      <c r="D84" s="47" t="s">
        <v>721</v>
      </c>
      <c r="E84" s="53" t="s">
        <v>308</v>
      </c>
      <c r="F84" s="53" t="s">
        <v>491</v>
      </c>
      <c r="G84" s="53" t="s">
        <v>713</v>
      </c>
      <c r="H84" s="159" t="s">
        <v>722</v>
      </c>
      <c r="I84" s="159" t="s">
        <v>298</v>
      </c>
      <c r="J84" s="57"/>
      <c r="K84" s="45">
        <f t="shared" ref="K84" si="22">M84+O84+Q84+S84+U84+W84</f>
        <v>33913.85</v>
      </c>
      <c r="L84" s="45">
        <f t="shared" ref="L84" si="23">N84+P84+R84+T84+V84+X84</f>
        <v>0</v>
      </c>
      <c r="M84" s="91">
        <v>2543.5300000000002</v>
      </c>
      <c r="N84" s="45"/>
      <c r="O84" s="91">
        <v>2543.5300000000002</v>
      </c>
      <c r="P84" s="45"/>
      <c r="Q84" s="91"/>
      <c r="R84" s="45"/>
      <c r="S84" s="45"/>
      <c r="T84" s="45"/>
      <c r="U84" s="91">
        <v>28826.79</v>
      </c>
      <c r="V84" s="45"/>
      <c r="W84" s="67"/>
      <c r="X84" s="67"/>
      <c r="Y84" s="154">
        <f>'5 lentelė'!R83</f>
        <v>2020</v>
      </c>
      <c r="Z84" s="155">
        <f>'5 lentelė'!S83</f>
        <v>0</v>
      </c>
      <c r="AA84" s="152">
        <f>IF(YEAR(Z84)=2018,AB84,0)</f>
        <v>0</v>
      </c>
      <c r="AB84" s="117">
        <v>1</v>
      </c>
      <c r="AC84" s="294">
        <v>27</v>
      </c>
      <c r="AD84" s="293" t="s">
        <v>784</v>
      </c>
      <c r="AE84" s="158"/>
      <c r="AF84" s="158"/>
      <c r="AG84" s="158"/>
      <c r="AH84" s="158"/>
      <c r="AI84" s="158"/>
      <c r="AJ84" s="158"/>
      <c r="AK84" s="158"/>
      <c r="AL84" s="158"/>
    </row>
    <row r="85" spans="2:38" ht="24" x14ac:dyDescent="0.25">
      <c r="B85" s="159" t="s">
        <v>723</v>
      </c>
      <c r="C85" s="159"/>
      <c r="D85" s="47" t="s">
        <v>724</v>
      </c>
      <c r="E85" s="53" t="s">
        <v>725</v>
      </c>
      <c r="F85" s="53" t="s">
        <v>491</v>
      </c>
      <c r="G85" s="53" t="s">
        <v>713</v>
      </c>
      <c r="H85" s="159" t="s">
        <v>722</v>
      </c>
      <c r="I85" s="159" t="s">
        <v>298</v>
      </c>
      <c r="J85" s="57"/>
      <c r="K85" s="45">
        <f t="shared" ref="K85:K100" si="24">M85+O85+Q85+S85+U85+W85</f>
        <v>34079.07</v>
      </c>
      <c r="L85" s="45">
        <f t="shared" ref="L85:L100" si="25">N85+P85+R85+T85+V85+X85</f>
        <v>0</v>
      </c>
      <c r="M85" s="91"/>
      <c r="N85" s="45"/>
      <c r="O85" s="91">
        <v>2555.9299999999998</v>
      </c>
      <c r="P85" s="45"/>
      <c r="Q85" s="91">
        <v>2555.9299999999998</v>
      </c>
      <c r="R85" s="45"/>
      <c r="S85" s="45"/>
      <c r="T85" s="45"/>
      <c r="U85" s="91">
        <v>28967.21</v>
      </c>
      <c r="V85" s="45"/>
      <c r="W85" s="67"/>
      <c r="X85" s="67"/>
      <c r="Y85" s="154">
        <f>'5 lentelė'!R84</f>
        <v>2019</v>
      </c>
      <c r="Z85" s="155">
        <f>'5 lentelė'!S84</f>
        <v>0</v>
      </c>
      <c r="AA85" s="152">
        <f t="shared" ref="AA85:AA100" si="26">IF(YEAR(Z85)=2018,AB85,0)</f>
        <v>0</v>
      </c>
      <c r="AB85" s="117">
        <v>1</v>
      </c>
      <c r="AC85" s="294">
        <v>27</v>
      </c>
      <c r="AD85" s="293" t="s">
        <v>784</v>
      </c>
      <c r="AE85" s="158"/>
      <c r="AF85" s="158"/>
      <c r="AG85" s="158"/>
      <c r="AH85" s="158"/>
      <c r="AI85" s="158"/>
      <c r="AJ85" s="158"/>
      <c r="AK85" s="158"/>
      <c r="AL85" s="158"/>
    </row>
    <row r="86" spans="2:38" ht="36" x14ac:dyDescent="0.25">
      <c r="B86" s="159" t="s">
        <v>726</v>
      </c>
      <c r="C86" s="159"/>
      <c r="D86" s="47" t="s">
        <v>727</v>
      </c>
      <c r="E86" s="53" t="s">
        <v>728</v>
      </c>
      <c r="F86" s="53" t="s">
        <v>491</v>
      </c>
      <c r="G86" s="53" t="s">
        <v>729</v>
      </c>
      <c r="H86" s="159" t="s">
        <v>722</v>
      </c>
      <c r="I86" s="159" t="s">
        <v>298</v>
      </c>
      <c r="J86" s="57"/>
      <c r="K86" s="45">
        <f t="shared" si="24"/>
        <v>178381.68000000002</v>
      </c>
      <c r="L86" s="45">
        <f t="shared" si="25"/>
        <v>0</v>
      </c>
      <c r="M86" s="91">
        <v>13378.64</v>
      </c>
      <c r="N86" s="45"/>
      <c r="O86" s="91">
        <v>13378.62</v>
      </c>
      <c r="P86" s="45"/>
      <c r="Q86" s="91"/>
      <c r="R86" s="45"/>
      <c r="S86" s="45"/>
      <c r="T86" s="45"/>
      <c r="U86" s="91">
        <v>151624.42000000001</v>
      </c>
      <c r="V86" s="45"/>
      <c r="W86" s="67"/>
      <c r="X86" s="67"/>
      <c r="Y86" s="154">
        <f>'5 lentelė'!R85</f>
        <v>2020</v>
      </c>
      <c r="Z86" s="155">
        <f>'5 lentelė'!S85</f>
        <v>0</v>
      </c>
      <c r="AA86" s="152">
        <f t="shared" si="26"/>
        <v>0</v>
      </c>
      <c r="AB86" s="117">
        <v>1</v>
      </c>
      <c r="AC86" s="294">
        <v>27</v>
      </c>
      <c r="AD86" s="293" t="s">
        <v>784</v>
      </c>
      <c r="AE86" s="158"/>
      <c r="AF86" s="158"/>
      <c r="AG86" s="158"/>
      <c r="AH86" s="158"/>
      <c r="AI86" s="158"/>
      <c r="AJ86" s="158"/>
      <c r="AK86" s="158"/>
      <c r="AL86" s="158"/>
    </row>
    <row r="87" spans="2:38" ht="36" x14ac:dyDescent="0.25">
      <c r="B87" s="159" t="s">
        <v>730</v>
      </c>
      <c r="C87" s="159"/>
      <c r="D87" s="47" t="s">
        <v>731</v>
      </c>
      <c r="E87" s="53" t="s">
        <v>732</v>
      </c>
      <c r="F87" s="53" t="s">
        <v>491</v>
      </c>
      <c r="G87" s="53" t="s">
        <v>729</v>
      </c>
      <c r="H87" s="159" t="s">
        <v>722</v>
      </c>
      <c r="I87" s="159" t="s">
        <v>298</v>
      </c>
      <c r="J87" s="57"/>
      <c r="K87" s="45">
        <f t="shared" si="24"/>
        <v>24189.1</v>
      </c>
      <c r="L87" s="45">
        <f t="shared" si="25"/>
        <v>0</v>
      </c>
      <c r="M87" s="91"/>
      <c r="N87" s="45"/>
      <c r="O87" s="91">
        <v>1814.18</v>
      </c>
      <c r="P87" s="45"/>
      <c r="Q87" s="91">
        <v>1814.19</v>
      </c>
      <c r="R87" s="45"/>
      <c r="S87" s="45"/>
      <c r="T87" s="45"/>
      <c r="U87" s="91">
        <v>20560.73</v>
      </c>
      <c r="V87" s="45"/>
      <c r="W87" s="67"/>
      <c r="X87" s="67"/>
      <c r="Y87" s="154">
        <f>'5 lentelė'!R86</f>
        <v>2019</v>
      </c>
      <c r="Z87" s="155">
        <f>'5 lentelė'!S86</f>
        <v>0</v>
      </c>
      <c r="AA87" s="152">
        <f t="shared" si="26"/>
        <v>0</v>
      </c>
      <c r="AB87" s="117">
        <v>1</v>
      </c>
      <c r="AC87" s="294">
        <v>27</v>
      </c>
      <c r="AD87" s="293" t="s">
        <v>784</v>
      </c>
      <c r="AE87" s="158"/>
      <c r="AF87" s="158"/>
      <c r="AG87" s="158"/>
      <c r="AH87" s="158"/>
      <c r="AI87" s="158"/>
      <c r="AJ87" s="158"/>
      <c r="AK87" s="158"/>
      <c r="AL87" s="158"/>
    </row>
    <row r="88" spans="2:38" ht="36" x14ac:dyDescent="0.25">
      <c r="B88" s="159" t="s">
        <v>733</v>
      </c>
      <c r="C88" s="159"/>
      <c r="D88" s="47" t="s">
        <v>734</v>
      </c>
      <c r="E88" s="53" t="s">
        <v>735</v>
      </c>
      <c r="F88" s="53" t="s">
        <v>491</v>
      </c>
      <c r="G88" s="53" t="s">
        <v>729</v>
      </c>
      <c r="H88" s="159" t="s">
        <v>722</v>
      </c>
      <c r="I88" s="159" t="s">
        <v>298</v>
      </c>
      <c r="J88" s="57"/>
      <c r="K88" s="45">
        <f t="shared" si="24"/>
        <v>23626.350000000002</v>
      </c>
      <c r="L88" s="45">
        <f t="shared" si="25"/>
        <v>0</v>
      </c>
      <c r="M88" s="91"/>
      <c r="N88" s="45"/>
      <c r="O88" s="91">
        <v>1771.97</v>
      </c>
      <c r="P88" s="45"/>
      <c r="Q88" s="91">
        <v>1771.98</v>
      </c>
      <c r="R88" s="45"/>
      <c r="S88" s="45"/>
      <c r="T88" s="45"/>
      <c r="U88" s="91">
        <v>20082.400000000001</v>
      </c>
      <c r="V88" s="45"/>
      <c r="W88" s="67"/>
      <c r="X88" s="67"/>
      <c r="Y88" s="154">
        <f>'5 lentelė'!R87</f>
        <v>2019</v>
      </c>
      <c r="Z88" s="155">
        <f>'5 lentelė'!S87</f>
        <v>0</v>
      </c>
      <c r="AA88" s="152">
        <f t="shared" si="26"/>
        <v>0</v>
      </c>
      <c r="AB88" s="117">
        <v>1</v>
      </c>
      <c r="AC88" s="294">
        <v>27</v>
      </c>
      <c r="AD88" s="293" t="s">
        <v>784</v>
      </c>
      <c r="AE88" s="158"/>
      <c r="AF88" s="158"/>
      <c r="AG88" s="158"/>
      <c r="AH88" s="158"/>
      <c r="AI88" s="158"/>
      <c r="AJ88" s="158"/>
      <c r="AK88" s="158"/>
      <c r="AL88" s="158"/>
    </row>
    <row r="89" spans="2:38" ht="36" x14ac:dyDescent="0.25">
      <c r="B89" s="159" t="s">
        <v>736</v>
      </c>
      <c r="C89" s="159"/>
      <c r="D89" s="47" t="s">
        <v>737</v>
      </c>
      <c r="E89" s="53" t="s">
        <v>738</v>
      </c>
      <c r="F89" s="53" t="s">
        <v>491</v>
      </c>
      <c r="G89" s="53" t="s">
        <v>729</v>
      </c>
      <c r="H89" s="159" t="s">
        <v>722</v>
      </c>
      <c r="I89" s="159" t="s">
        <v>298</v>
      </c>
      <c r="J89" s="57"/>
      <c r="K89" s="45">
        <f t="shared" si="24"/>
        <v>14262.54</v>
      </c>
      <c r="L89" s="45">
        <f t="shared" si="25"/>
        <v>0</v>
      </c>
      <c r="M89" s="91"/>
      <c r="N89" s="45"/>
      <c r="O89" s="91">
        <v>1069.69</v>
      </c>
      <c r="P89" s="45"/>
      <c r="Q89" s="91">
        <v>1069.7</v>
      </c>
      <c r="R89" s="45"/>
      <c r="S89" s="45"/>
      <c r="T89" s="45"/>
      <c r="U89" s="91">
        <v>12123.15</v>
      </c>
      <c r="V89" s="45"/>
      <c r="W89" s="67"/>
      <c r="X89" s="67"/>
      <c r="Y89" s="154">
        <f>'5 lentelė'!R88</f>
        <v>2019</v>
      </c>
      <c r="Z89" s="155">
        <f>'5 lentelė'!S88</f>
        <v>0</v>
      </c>
      <c r="AA89" s="152">
        <f t="shared" si="26"/>
        <v>0</v>
      </c>
      <c r="AB89" s="117">
        <v>1</v>
      </c>
      <c r="AC89" s="294">
        <v>27</v>
      </c>
      <c r="AD89" s="293" t="s">
        <v>784</v>
      </c>
      <c r="AE89" s="158"/>
      <c r="AF89" s="158"/>
      <c r="AG89" s="158"/>
      <c r="AH89" s="158"/>
      <c r="AI89" s="158"/>
      <c r="AJ89" s="158"/>
      <c r="AK89" s="158"/>
      <c r="AL89" s="158"/>
    </row>
    <row r="90" spans="2:38" ht="36" x14ac:dyDescent="0.25">
      <c r="B90" s="159" t="s">
        <v>739</v>
      </c>
      <c r="C90" s="159"/>
      <c r="D90" s="47" t="s">
        <v>740</v>
      </c>
      <c r="E90" s="53" t="s">
        <v>741</v>
      </c>
      <c r="F90" s="53" t="s">
        <v>491</v>
      </c>
      <c r="G90" s="53" t="s">
        <v>729</v>
      </c>
      <c r="H90" s="159" t="s">
        <v>722</v>
      </c>
      <c r="I90" s="159" t="s">
        <v>298</v>
      </c>
      <c r="J90" s="57"/>
      <c r="K90" s="45">
        <f t="shared" si="24"/>
        <v>21476.829999999998</v>
      </c>
      <c r="L90" s="45">
        <f t="shared" si="25"/>
        <v>0</v>
      </c>
      <c r="M90" s="91"/>
      <c r="N90" s="45"/>
      <c r="O90" s="91">
        <v>1610.76</v>
      </c>
      <c r="P90" s="45"/>
      <c r="Q90" s="91">
        <v>1610.77</v>
      </c>
      <c r="R90" s="45"/>
      <c r="S90" s="45"/>
      <c r="T90" s="45"/>
      <c r="U90" s="91">
        <v>18255.3</v>
      </c>
      <c r="V90" s="45"/>
      <c r="W90" s="67"/>
      <c r="X90" s="67"/>
      <c r="Y90" s="154">
        <f>'5 lentelė'!R89</f>
        <v>2019</v>
      </c>
      <c r="Z90" s="155">
        <f>'5 lentelė'!S89</f>
        <v>0</v>
      </c>
      <c r="AA90" s="152">
        <f t="shared" si="26"/>
        <v>0</v>
      </c>
      <c r="AB90" s="117">
        <v>1</v>
      </c>
      <c r="AC90" s="294">
        <v>27</v>
      </c>
      <c r="AD90" s="293" t="s">
        <v>784</v>
      </c>
      <c r="AE90" s="158"/>
      <c r="AF90" s="158"/>
      <c r="AG90" s="158"/>
      <c r="AH90" s="158"/>
      <c r="AI90" s="158"/>
      <c r="AJ90" s="158"/>
      <c r="AK90" s="158"/>
      <c r="AL90" s="158"/>
    </row>
    <row r="91" spans="2:38" ht="24" x14ac:dyDescent="0.25">
      <c r="B91" s="159" t="s">
        <v>742</v>
      </c>
      <c r="C91" s="159"/>
      <c r="D91" s="47" t="s">
        <v>743</v>
      </c>
      <c r="E91" s="53" t="s">
        <v>744</v>
      </c>
      <c r="F91" s="53" t="s">
        <v>491</v>
      </c>
      <c r="G91" s="53" t="s">
        <v>342</v>
      </c>
      <c r="H91" s="159" t="s">
        <v>722</v>
      </c>
      <c r="I91" s="159" t="s">
        <v>298</v>
      </c>
      <c r="J91" s="57"/>
      <c r="K91" s="45">
        <f t="shared" si="24"/>
        <v>100228.23</v>
      </c>
      <c r="L91" s="45">
        <f t="shared" si="25"/>
        <v>0</v>
      </c>
      <c r="M91" s="91">
        <v>7517.12</v>
      </c>
      <c r="N91" s="45"/>
      <c r="O91" s="91">
        <v>7517.11</v>
      </c>
      <c r="P91" s="45"/>
      <c r="Q91" s="91"/>
      <c r="R91" s="45"/>
      <c r="S91" s="45"/>
      <c r="T91" s="45"/>
      <c r="U91" s="91">
        <v>85194</v>
      </c>
      <c r="V91" s="45"/>
      <c r="W91" s="67"/>
      <c r="X91" s="67"/>
      <c r="Y91" s="154">
        <f>'5 lentelė'!R90</f>
        <v>2020</v>
      </c>
      <c r="Z91" s="155">
        <f>'5 lentelė'!S90</f>
        <v>0</v>
      </c>
      <c r="AA91" s="152">
        <f t="shared" si="26"/>
        <v>0</v>
      </c>
      <c r="AB91" s="117">
        <v>1</v>
      </c>
      <c r="AC91" s="294">
        <v>27</v>
      </c>
      <c r="AD91" s="293" t="s">
        <v>784</v>
      </c>
      <c r="AE91" s="158"/>
      <c r="AF91" s="158"/>
      <c r="AG91" s="158"/>
      <c r="AH91" s="158"/>
      <c r="AI91" s="158"/>
      <c r="AJ91" s="158"/>
      <c r="AK91" s="158"/>
      <c r="AL91" s="158"/>
    </row>
    <row r="92" spans="2:38" ht="36" x14ac:dyDescent="0.25">
      <c r="B92" s="159" t="s">
        <v>745</v>
      </c>
      <c r="C92" s="159"/>
      <c r="D92" s="47" t="s">
        <v>746</v>
      </c>
      <c r="E92" s="53" t="s">
        <v>747</v>
      </c>
      <c r="F92" s="53" t="s">
        <v>491</v>
      </c>
      <c r="G92" s="53" t="s">
        <v>342</v>
      </c>
      <c r="H92" s="159" t="s">
        <v>722</v>
      </c>
      <c r="I92" s="159" t="s">
        <v>298</v>
      </c>
      <c r="J92" s="57"/>
      <c r="K92" s="45">
        <f t="shared" si="24"/>
        <v>52792.94</v>
      </c>
      <c r="L92" s="45">
        <f t="shared" si="25"/>
        <v>0</v>
      </c>
      <c r="M92" s="91"/>
      <c r="N92" s="45"/>
      <c r="O92" s="91">
        <v>3959.47</v>
      </c>
      <c r="P92" s="45"/>
      <c r="Q92" s="91">
        <v>3959.47</v>
      </c>
      <c r="R92" s="45"/>
      <c r="S92" s="45"/>
      <c r="T92" s="45"/>
      <c r="U92" s="91">
        <v>44874</v>
      </c>
      <c r="V92" s="45"/>
      <c r="W92" s="67"/>
      <c r="X92" s="67"/>
      <c r="Y92" s="154">
        <f>'5 lentelė'!R91</f>
        <v>2020</v>
      </c>
      <c r="Z92" s="155">
        <f>'5 lentelė'!S91</f>
        <v>0</v>
      </c>
      <c r="AA92" s="152">
        <f t="shared" si="26"/>
        <v>0</v>
      </c>
      <c r="AB92" s="117">
        <v>1</v>
      </c>
      <c r="AC92" s="294">
        <v>27</v>
      </c>
      <c r="AD92" s="293" t="s">
        <v>784</v>
      </c>
      <c r="AE92" s="158"/>
      <c r="AF92" s="158"/>
      <c r="AG92" s="158"/>
      <c r="AH92" s="158"/>
      <c r="AI92" s="158"/>
      <c r="AJ92" s="158"/>
      <c r="AK92" s="158"/>
      <c r="AL92" s="158"/>
    </row>
    <row r="93" spans="2:38" ht="36" x14ac:dyDescent="0.25">
      <c r="B93" s="159" t="s">
        <v>748</v>
      </c>
      <c r="C93" s="159"/>
      <c r="D93" s="47" t="s">
        <v>749</v>
      </c>
      <c r="E93" s="53" t="s">
        <v>750</v>
      </c>
      <c r="F93" s="53" t="s">
        <v>491</v>
      </c>
      <c r="G93" s="53" t="s">
        <v>342</v>
      </c>
      <c r="H93" s="159" t="s">
        <v>722</v>
      </c>
      <c r="I93" s="159" t="s">
        <v>298</v>
      </c>
      <c r="J93" s="57"/>
      <c r="K93" s="45">
        <f t="shared" si="24"/>
        <v>21270.58</v>
      </c>
      <c r="L93" s="45">
        <f t="shared" si="25"/>
        <v>0</v>
      </c>
      <c r="M93" s="91">
        <v>1595.29</v>
      </c>
      <c r="N93" s="45"/>
      <c r="O93" s="91">
        <v>1595.29</v>
      </c>
      <c r="P93" s="45"/>
      <c r="Q93" s="91"/>
      <c r="R93" s="45"/>
      <c r="S93" s="45"/>
      <c r="T93" s="45"/>
      <c r="U93" s="91">
        <v>18080</v>
      </c>
      <c r="V93" s="45"/>
      <c r="W93" s="67"/>
      <c r="X93" s="67"/>
      <c r="Y93" s="154">
        <f>'5 lentelė'!R92</f>
        <v>2020</v>
      </c>
      <c r="Z93" s="155">
        <f>'5 lentelė'!S92</f>
        <v>0</v>
      </c>
      <c r="AA93" s="152">
        <f t="shared" si="26"/>
        <v>0</v>
      </c>
      <c r="AB93" s="117">
        <v>1</v>
      </c>
      <c r="AC93" s="294">
        <v>27</v>
      </c>
      <c r="AD93" s="293" t="s">
        <v>784</v>
      </c>
      <c r="AE93" s="158"/>
      <c r="AF93" s="158"/>
      <c r="AG93" s="158"/>
      <c r="AH93" s="158"/>
      <c r="AI93" s="158"/>
      <c r="AJ93" s="158"/>
      <c r="AK93" s="158"/>
      <c r="AL93" s="158"/>
    </row>
    <row r="94" spans="2:38" ht="36" x14ac:dyDescent="0.25">
      <c r="B94" s="159" t="s">
        <v>751</v>
      </c>
      <c r="C94" s="159"/>
      <c r="D94" s="47" t="s">
        <v>752</v>
      </c>
      <c r="E94" s="53" t="s">
        <v>753</v>
      </c>
      <c r="F94" s="53" t="s">
        <v>491</v>
      </c>
      <c r="G94" s="53" t="s">
        <v>342</v>
      </c>
      <c r="H94" s="159" t="s">
        <v>722</v>
      </c>
      <c r="I94" s="159" t="s">
        <v>298</v>
      </c>
      <c r="J94" s="57"/>
      <c r="K94" s="45">
        <f t="shared" si="24"/>
        <v>18170.59</v>
      </c>
      <c r="L94" s="45">
        <f t="shared" si="25"/>
        <v>0</v>
      </c>
      <c r="M94" s="91">
        <v>1362.8</v>
      </c>
      <c r="N94" s="45"/>
      <c r="O94" s="91">
        <v>1362.79</v>
      </c>
      <c r="P94" s="45"/>
      <c r="Q94" s="91"/>
      <c r="R94" s="45"/>
      <c r="S94" s="45"/>
      <c r="T94" s="45"/>
      <c r="U94" s="91">
        <v>15445</v>
      </c>
      <c r="V94" s="45"/>
      <c r="W94" s="67"/>
      <c r="X94" s="67"/>
      <c r="Y94" s="154">
        <f>'5 lentelė'!R93</f>
        <v>2020</v>
      </c>
      <c r="Z94" s="155">
        <f>'5 lentelė'!S93</f>
        <v>0</v>
      </c>
      <c r="AA94" s="152">
        <f t="shared" si="26"/>
        <v>0</v>
      </c>
      <c r="AB94" s="117">
        <v>1</v>
      </c>
      <c r="AC94" s="294">
        <v>27</v>
      </c>
      <c r="AD94" s="293" t="s">
        <v>784</v>
      </c>
      <c r="AE94" s="158"/>
      <c r="AF94" s="158"/>
      <c r="AG94" s="158"/>
      <c r="AH94" s="158"/>
      <c r="AI94" s="158"/>
      <c r="AJ94" s="158"/>
      <c r="AK94" s="158"/>
      <c r="AL94" s="158"/>
    </row>
    <row r="95" spans="2:38" ht="36" x14ac:dyDescent="0.25">
      <c r="B95" s="159" t="s">
        <v>754</v>
      </c>
      <c r="C95" s="159"/>
      <c r="D95" s="47" t="s">
        <v>755</v>
      </c>
      <c r="E95" s="53" t="s">
        <v>756</v>
      </c>
      <c r="F95" s="53" t="s">
        <v>491</v>
      </c>
      <c r="G95" s="53" t="s">
        <v>342</v>
      </c>
      <c r="H95" s="159" t="s">
        <v>722</v>
      </c>
      <c r="I95" s="159" t="s">
        <v>298</v>
      </c>
      <c r="J95" s="57"/>
      <c r="K95" s="45">
        <f t="shared" si="24"/>
        <v>24982.35</v>
      </c>
      <c r="L95" s="45">
        <f t="shared" si="25"/>
        <v>0</v>
      </c>
      <c r="M95" s="91">
        <v>1873.68</v>
      </c>
      <c r="N95" s="45"/>
      <c r="O95" s="91">
        <v>1873.67</v>
      </c>
      <c r="P95" s="45"/>
      <c r="Q95" s="91"/>
      <c r="R95" s="45"/>
      <c r="S95" s="45"/>
      <c r="T95" s="45"/>
      <c r="U95" s="91">
        <v>21235</v>
      </c>
      <c r="V95" s="45"/>
      <c r="W95" s="67"/>
      <c r="X95" s="67"/>
      <c r="Y95" s="154">
        <f>'5 lentelė'!R94</f>
        <v>2020</v>
      </c>
      <c r="Z95" s="155">
        <f>'5 lentelė'!S94</f>
        <v>0</v>
      </c>
      <c r="AA95" s="152">
        <f t="shared" si="26"/>
        <v>0</v>
      </c>
      <c r="AB95" s="117">
        <v>1</v>
      </c>
      <c r="AC95" s="294">
        <v>27</v>
      </c>
      <c r="AD95" s="293" t="s">
        <v>784</v>
      </c>
      <c r="AE95" s="158"/>
      <c r="AF95" s="158"/>
      <c r="AG95" s="158"/>
      <c r="AH95" s="158"/>
      <c r="AI95" s="158"/>
      <c r="AJ95" s="158"/>
      <c r="AK95" s="158"/>
      <c r="AL95" s="158"/>
    </row>
    <row r="96" spans="2:38" ht="24" x14ac:dyDescent="0.25">
      <c r="B96" s="159" t="s">
        <v>757</v>
      </c>
      <c r="C96" s="159"/>
      <c r="D96" s="47" t="s">
        <v>758</v>
      </c>
      <c r="E96" s="53" t="s">
        <v>759</v>
      </c>
      <c r="F96" s="53" t="s">
        <v>491</v>
      </c>
      <c r="G96" s="53" t="s">
        <v>342</v>
      </c>
      <c r="H96" s="159" t="s">
        <v>722</v>
      </c>
      <c r="I96" s="159" t="s">
        <v>298</v>
      </c>
      <c r="J96" s="57"/>
      <c r="K96" s="45">
        <f t="shared" si="24"/>
        <v>17587.04</v>
      </c>
      <c r="L96" s="45">
        <f t="shared" si="25"/>
        <v>0</v>
      </c>
      <c r="M96" s="91">
        <v>1319.02</v>
      </c>
      <c r="N96" s="45"/>
      <c r="O96" s="91">
        <v>1319.02</v>
      </c>
      <c r="P96" s="45"/>
      <c r="Q96" s="91"/>
      <c r="R96" s="45"/>
      <c r="S96" s="45"/>
      <c r="T96" s="45"/>
      <c r="U96" s="91">
        <v>14949</v>
      </c>
      <c r="V96" s="45"/>
      <c r="W96" s="67"/>
      <c r="X96" s="67"/>
      <c r="Y96" s="154">
        <f>'5 lentelė'!R95</f>
        <v>2019</v>
      </c>
      <c r="Z96" s="155">
        <f>'5 lentelė'!S95</f>
        <v>0</v>
      </c>
      <c r="AA96" s="152">
        <f t="shared" si="26"/>
        <v>0</v>
      </c>
      <c r="AB96" s="117">
        <v>1</v>
      </c>
      <c r="AC96" s="294">
        <v>27</v>
      </c>
      <c r="AD96" s="293" t="s">
        <v>784</v>
      </c>
      <c r="AE96" s="158"/>
      <c r="AF96" s="158"/>
      <c r="AG96" s="158"/>
      <c r="AH96" s="158"/>
      <c r="AI96" s="158"/>
      <c r="AJ96" s="158"/>
      <c r="AK96" s="158"/>
      <c r="AL96" s="158"/>
    </row>
    <row r="97" spans="2:38" ht="36" x14ac:dyDescent="0.25">
      <c r="B97" s="159" t="s">
        <v>760</v>
      </c>
      <c r="C97" s="159"/>
      <c r="D97" s="47" t="s">
        <v>761</v>
      </c>
      <c r="E97" s="53" t="s">
        <v>762</v>
      </c>
      <c r="F97" s="53" t="s">
        <v>491</v>
      </c>
      <c r="G97" s="53" t="s">
        <v>763</v>
      </c>
      <c r="H97" s="159" t="s">
        <v>722</v>
      </c>
      <c r="I97" s="159" t="s">
        <v>298</v>
      </c>
      <c r="J97" s="57"/>
      <c r="K97" s="45">
        <f t="shared" si="24"/>
        <v>240523</v>
      </c>
      <c r="L97" s="45">
        <f t="shared" si="25"/>
        <v>0</v>
      </c>
      <c r="M97" s="91">
        <v>18039.23</v>
      </c>
      <c r="N97" s="45"/>
      <c r="O97" s="91">
        <v>18039.22</v>
      </c>
      <c r="P97" s="45"/>
      <c r="Q97" s="91"/>
      <c r="R97" s="45"/>
      <c r="S97" s="45"/>
      <c r="T97" s="45"/>
      <c r="U97" s="91">
        <v>204444.55</v>
      </c>
      <c r="V97" s="45"/>
      <c r="W97" s="67"/>
      <c r="X97" s="67"/>
      <c r="Y97" s="154">
        <f>'5 lentelė'!R96</f>
        <v>2020</v>
      </c>
      <c r="Z97" s="155">
        <f>'5 lentelė'!S96</f>
        <v>0</v>
      </c>
      <c r="AA97" s="152">
        <f t="shared" si="26"/>
        <v>0</v>
      </c>
      <c r="AB97" s="117">
        <v>1</v>
      </c>
      <c r="AC97" s="294">
        <v>27</v>
      </c>
      <c r="AD97" s="293" t="s">
        <v>784</v>
      </c>
      <c r="AE97" s="158"/>
      <c r="AF97" s="158"/>
      <c r="AG97" s="158"/>
      <c r="AH97" s="158"/>
      <c r="AI97" s="158"/>
      <c r="AJ97" s="158"/>
      <c r="AK97" s="158"/>
      <c r="AL97" s="158"/>
    </row>
    <row r="98" spans="2:38" ht="24" x14ac:dyDescent="0.25">
      <c r="B98" s="159" t="s">
        <v>764</v>
      </c>
      <c r="C98" s="159"/>
      <c r="D98" s="47" t="s">
        <v>765</v>
      </c>
      <c r="E98" s="53" t="s">
        <v>766</v>
      </c>
      <c r="F98" s="53" t="s">
        <v>491</v>
      </c>
      <c r="G98" s="53" t="s">
        <v>763</v>
      </c>
      <c r="H98" s="159" t="s">
        <v>722</v>
      </c>
      <c r="I98" s="159" t="s">
        <v>298</v>
      </c>
      <c r="J98" s="57"/>
      <c r="K98" s="45">
        <f t="shared" si="24"/>
        <v>47242</v>
      </c>
      <c r="L98" s="45">
        <f t="shared" si="25"/>
        <v>0</v>
      </c>
      <c r="M98" s="91"/>
      <c r="N98" s="45"/>
      <c r="O98" s="91">
        <v>3543.15</v>
      </c>
      <c r="P98" s="45"/>
      <c r="Q98" s="91">
        <v>3543.15</v>
      </c>
      <c r="R98" s="45"/>
      <c r="S98" s="45"/>
      <c r="T98" s="45"/>
      <c r="U98" s="91">
        <v>40155.699999999997</v>
      </c>
      <c r="V98" s="45"/>
      <c r="W98" s="67"/>
      <c r="X98" s="67"/>
      <c r="Y98" s="154">
        <f>'5 lentelė'!R97</f>
        <v>2019</v>
      </c>
      <c r="Z98" s="155">
        <f>'5 lentelė'!S97</f>
        <v>0</v>
      </c>
      <c r="AA98" s="152">
        <f t="shared" si="26"/>
        <v>0</v>
      </c>
      <c r="AB98" s="117">
        <v>1</v>
      </c>
      <c r="AC98" s="294">
        <v>27</v>
      </c>
      <c r="AD98" s="293" t="s">
        <v>784</v>
      </c>
      <c r="AE98" s="158"/>
      <c r="AF98" s="158"/>
      <c r="AG98" s="158"/>
      <c r="AH98" s="158"/>
      <c r="AI98" s="158"/>
      <c r="AJ98" s="158"/>
      <c r="AK98" s="158"/>
      <c r="AL98" s="158"/>
    </row>
    <row r="99" spans="2:38" ht="48" x14ac:dyDescent="0.25">
      <c r="B99" s="159" t="s">
        <v>767</v>
      </c>
      <c r="C99" s="159"/>
      <c r="D99" s="47" t="s">
        <v>768</v>
      </c>
      <c r="E99" s="53" t="s">
        <v>769</v>
      </c>
      <c r="F99" s="53" t="s">
        <v>491</v>
      </c>
      <c r="G99" s="53" t="s">
        <v>763</v>
      </c>
      <c r="H99" s="159" t="s">
        <v>722</v>
      </c>
      <c r="I99" s="159" t="s">
        <v>298</v>
      </c>
      <c r="J99" s="57"/>
      <c r="K99" s="45">
        <f t="shared" si="24"/>
        <v>23724</v>
      </c>
      <c r="L99" s="45">
        <f t="shared" si="25"/>
        <v>0</v>
      </c>
      <c r="M99" s="91"/>
      <c r="N99" s="45"/>
      <c r="O99" s="91">
        <v>1779.3</v>
      </c>
      <c r="P99" s="45"/>
      <c r="Q99" s="91">
        <v>1779.3</v>
      </c>
      <c r="R99" s="45"/>
      <c r="S99" s="45"/>
      <c r="T99" s="45"/>
      <c r="U99" s="91">
        <v>20165.400000000001</v>
      </c>
      <c r="V99" s="45"/>
      <c r="W99" s="67"/>
      <c r="X99" s="67"/>
      <c r="Y99" s="154">
        <f>'5 lentelė'!R98</f>
        <v>2019</v>
      </c>
      <c r="Z99" s="155">
        <f>'5 lentelė'!S98</f>
        <v>0</v>
      </c>
      <c r="AA99" s="152">
        <f t="shared" si="26"/>
        <v>0</v>
      </c>
      <c r="AB99" s="117">
        <v>1</v>
      </c>
      <c r="AC99" s="294">
        <v>27</v>
      </c>
      <c r="AD99" s="293" t="s">
        <v>784</v>
      </c>
      <c r="AE99" s="158"/>
      <c r="AF99" s="158"/>
      <c r="AG99" s="158"/>
      <c r="AH99" s="158"/>
      <c r="AI99" s="158"/>
      <c r="AJ99" s="158"/>
      <c r="AK99" s="158"/>
      <c r="AL99" s="158"/>
    </row>
    <row r="100" spans="2:38" ht="36" x14ac:dyDescent="0.25">
      <c r="B100" s="159" t="s">
        <v>770</v>
      </c>
      <c r="C100" s="159"/>
      <c r="D100" s="47" t="s">
        <v>771</v>
      </c>
      <c r="E100" s="53" t="s">
        <v>772</v>
      </c>
      <c r="F100" s="53" t="s">
        <v>491</v>
      </c>
      <c r="G100" s="53" t="s">
        <v>763</v>
      </c>
      <c r="H100" s="159" t="s">
        <v>722</v>
      </c>
      <c r="I100" s="159" t="s">
        <v>298</v>
      </c>
      <c r="J100" s="57"/>
      <c r="K100" s="45">
        <f t="shared" si="24"/>
        <v>107171</v>
      </c>
      <c r="L100" s="45">
        <f t="shared" si="25"/>
        <v>0</v>
      </c>
      <c r="M100" s="91"/>
      <c r="N100" s="45"/>
      <c r="O100" s="91">
        <v>8037.82</v>
      </c>
      <c r="P100" s="45"/>
      <c r="Q100" s="91">
        <v>8037.83</v>
      </c>
      <c r="R100" s="45"/>
      <c r="S100" s="45"/>
      <c r="T100" s="45"/>
      <c r="U100" s="91">
        <v>91095.35</v>
      </c>
      <c r="V100" s="45"/>
      <c r="W100" s="67"/>
      <c r="X100" s="67"/>
      <c r="Y100" s="154">
        <f>'5 lentelė'!R99</f>
        <v>2019</v>
      </c>
      <c r="Z100" s="155">
        <f>'5 lentelė'!S99</f>
        <v>0</v>
      </c>
      <c r="AA100" s="152">
        <f t="shared" si="26"/>
        <v>0</v>
      </c>
      <c r="AB100" s="117">
        <v>1</v>
      </c>
      <c r="AC100" s="294">
        <v>27</v>
      </c>
      <c r="AD100" s="293" t="s">
        <v>784</v>
      </c>
      <c r="AE100" s="158"/>
      <c r="AF100" s="158"/>
      <c r="AG100" s="158"/>
      <c r="AH100" s="158"/>
      <c r="AI100" s="158"/>
      <c r="AJ100" s="158"/>
      <c r="AK100" s="158"/>
      <c r="AL100" s="158"/>
    </row>
    <row r="101" spans="2:38" x14ac:dyDescent="0.25">
      <c r="B101" s="69" t="s">
        <v>668</v>
      </c>
      <c r="C101" s="70"/>
      <c r="D101" s="374" t="s">
        <v>515</v>
      </c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6"/>
      <c r="Y101" s="168"/>
      <c r="Z101" s="169"/>
      <c r="AA101" s="170"/>
      <c r="AB101" s="171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</row>
    <row r="102" spans="2:38" x14ac:dyDescent="0.25">
      <c r="B102" s="79" t="s">
        <v>516</v>
      </c>
      <c r="C102" s="68"/>
      <c r="D102" s="365" t="s">
        <v>517</v>
      </c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7"/>
      <c r="Y102" s="174"/>
      <c r="Z102" s="175"/>
      <c r="AA102" s="176"/>
      <c r="AB102" s="128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</row>
    <row r="103" spans="2:38" ht="48" x14ac:dyDescent="0.25">
      <c r="B103" s="59" t="s">
        <v>518</v>
      </c>
      <c r="C103" s="41"/>
      <c r="D103" s="43" t="s">
        <v>519</v>
      </c>
      <c r="E103" s="54" t="s">
        <v>294</v>
      </c>
      <c r="F103" s="55" t="s">
        <v>520</v>
      </c>
      <c r="G103" s="55" t="s">
        <v>521</v>
      </c>
      <c r="H103" s="55" t="s">
        <v>706</v>
      </c>
      <c r="I103" s="55" t="s">
        <v>298</v>
      </c>
      <c r="J103" s="57"/>
      <c r="K103" s="45">
        <f t="shared" ref="K103:L106" si="27">M103+O103+Q103+S103+U103+W103</f>
        <v>169733.46</v>
      </c>
      <c r="L103" s="45">
        <f t="shared" si="27"/>
        <v>133439.67000000001</v>
      </c>
      <c r="M103" s="45">
        <v>25460.02</v>
      </c>
      <c r="N103" s="45">
        <v>19844.96</v>
      </c>
      <c r="O103" s="45"/>
      <c r="P103" s="45"/>
      <c r="Q103" s="45"/>
      <c r="R103" s="45"/>
      <c r="S103" s="45"/>
      <c r="T103" s="45"/>
      <c r="U103" s="45">
        <v>144273.44</v>
      </c>
      <c r="V103" s="45">
        <f>112454.71+1140</f>
        <v>113594.71</v>
      </c>
      <c r="W103" s="67"/>
      <c r="X103" s="67"/>
      <c r="Y103" s="154">
        <f>'5 lentelė'!R102</f>
        <v>2018</v>
      </c>
      <c r="Z103" s="155">
        <f>'5 lentelė'!S102</f>
        <v>0</v>
      </c>
      <c r="AA103" s="152">
        <f>IF(YEAR(Z103)=2018,AB103,0)</f>
        <v>0</v>
      </c>
      <c r="AB103" s="117">
        <v>1</v>
      </c>
      <c r="AC103" s="161">
        <v>27</v>
      </c>
      <c r="AD103" s="161" t="s">
        <v>86</v>
      </c>
      <c r="AE103" s="161"/>
      <c r="AF103" s="161"/>
      <c r="AG103" s="162"/>
      <c r="AH103" s="161"/>
      <c r="AI103" s="161"/>
      <c r="AJ103" s="161"/>
      <c r="AK103" s="161"/>
      <c r="AL103" s="161"/>
    </row>
    <row r="104" spans="2:38" ht="36" x14ac:dyDescent="0.25">
      <c r="B104" s="59" t="s">
        <v>528</v>
      </c>
      <c r="C104" s="41"/>
      <c r="D104" s="43" t="s">
        <v>529</v>
      </c>
      <c r="E104" s="54" t="s">
        <v>308</v>
      </c>
      <c r="F104" s="55" t="s">
        <v>520</v>
      </c>
      <c r="G104" s="55" t="s">
        <v>349</v>
      </c>
      <c r="H104" s="55" t="s">
        <v>706</v>
      </c>
      <c r="I104" s="55" t="s">
        <v>298</v>
      </c>
      <c r="J104" s="57"/>
      <c r="K104" s="45">
        <f t="shared" si="27"/>
        <v>65250</v>
      </c>
      <c r="L104" s="45">
        <f t="shared" si="27"/>
        <v>77793.959999999992</v>
      </c>
      <c r="M104" s="45">
        <v>9788</v>
      </c>
      <c r="N104" s="45">
        <v>22331.96</v>
      </c>
      <c r="O104" s="45"/>
      <c r="P104" s="45"/>
      <c r="Q104" s="45"/>
      <c r="R104" s="45"/>
      <c r="S104" s="45"/>
      <c r="T104" s="45"/>
      <c r="U104" s="45">
        <v>55462</v>
      </c>
      <c r="V104" s="45">
        <v>55462</v>
      </c>
      <c r="W104" s="67"/>
      <c r="X104" s="67"/>
      <c r="Y104" s="154">
        <f>'5 lentelė'!R103</f>
        <v>43281</v>
      </c>
      <c r="Z104" s="155">
        <f>'5 lentelė'!S103</f>
        <v>43276</v>
      </c>
      <c r="AA104" s="304">
        <f t="shared" ref="AA104:AA106" si="28">IF(YEAR(Z104)=2018,AB104,0)</f>
        <v>1</v>
      </c>
      <c r="AB104" s="117">
        <v>1</v>
      </c>
      <c r="AC104" s="161">
        <v>27</v>
      </c>
      <c r="AD104" s="161" t="s">
        <v>86</v>
      </c>
      <c r="AE104" s="161"/>
      <c r="AF104" s="161"/>
      <c r="AG104" s="162"/>
      <c r="AH104" s="161"/>
      <c r="AI104" s="161"/>
      <c r="AJ104" s="161"/>
      <c r="AK104" s="161"/>
      <c r="AL104" s="161"/>
    </row>
    <row r="105" spans="2:38" ht="36" x14ac:dyDescent="0.25">
      <c r="B105" s="59" t="s">
        <v>530</v>
      </c>
      <c r="C105" s="41"/>
      <c r="D105" s="43" t="s">
        <v>531</v>
      </c>
      <c r="E105" s="54" t="s">
        <v>328</v>
      </c>
      <c r="F105" s="55" t="s">
        <v>520</v>
      </c>
      <c r="G105" s="55" t="s">
        <v>426</v>
      </c>
      <c r="H105" s="55" t="s">
        <v>706</v>
      </c>
      <c r="I105" s="55" t="s">
        <v>298</v>
      </c>
      <c r="J105" s="57"/>
      <c r="K105" s="45">
        <f t="shared" si="27"/>
        <v>191806.42</v>
      </c>
      <c r="L105" s="45">
        <f t="shared" si="27"/>
        <v>6731.24</v>
      </c>
      <c r="M105" s="45">
        <v>28770.97</v>
      </c>
      <c r="N105" s="45">
        <v>1009.69</v>
      </c>
      <c r="O105" s="45"/>
      <c r="P105" s="45"/>
      <c r="Q105" s="45"/>
      <c r="R105" s="45"/>
      <c r="S105" s="45"/>
      <c r="T105" s="45"/>
      <c r="U105" s="45">
        <v>163035.45000000001</v>
      </c>
      <c r="V105" s="45">
        <v>5721.55</v>
      </c>
      <c r="W105" s="67"/>
      <c r="X105" s="67"/>
      <c r="Y105" s="154">
        <f>'5 lentelė'!R104</f>
        <v>2019</v>
      </c>
      <c r="Z105" s="155">
        <f>'5 lentelė'!S104</f>
        <v>0</v>
      </c>
      <c r="AA105" s="152">
        <f t="shared" si="28"/>
        <v>0</v>
      </c>
      <c r="AB105" s="117">
        <v>1</v>
      </c>
      <c r="AC105" s="161">
        <v>27</v>
      </c>
      <c r="AD105" s="161" t="s">
        <v>86</v>
      </c>
      <c r="AE105" s="161"/>
      <c r="AF105" s="161"/>
      <c r="AG105" s="162"/>
      <c r="AH105" s="161"/>
      <c r="AI105" s="161"/>
      <c r="AJ105" s="161"/>
      <c r="AK105" s="161"/>
      <c r="AL105" s="161"/>
    </row>
    <row r="106" spans="2:38" ht="36" x14ac:dyDescent="0.25">
      <c r="B106" s="59" t="s">
        <v>532</v>
      </c>
      <c r="C106" s="41"/>
      <c r="D106" s="43" t="s">
        <v>533</v>
      </c>
      <c r="E106" s="54" t="s">
        <v>534</v>
      </c>
      <c r="F106" s="55" t="s">
        <v>520</v>
      </c>
      <c r="G106" s="55" t="s">
        <v>390</v>
      </c>
      <c r="H106" s="55" t="s">
        <v>706</v>
      </c>
      <c r="I106" s="55" t="s">
        <v>298</v>
      </c>
      <c r="J106" s="57"/>
      <c r="K106" s="45">
        <f t="shared" si="27"/>
        <v>905836.09</v>
      </c>
      <c r="L106" s="45">
        <f t="shared" si="27"/>
        <v>8428.44</v>
      </c>
      <c r="M106" s="45">
        <v>680455.98</v>
      </c>
      <c r="N106" s="45">
        <v>2333.81</v>
      </c>
      <c r="O106" s="45"/>
      <c r="P106" s="45"/>
      <c r="Q106" s="45"/>
      <c r="R106" s="45"/>
      <c r="S106" s="45"/>
      <c r="T106" s="45"/>
      <c r="U106" s="45">
        <v>225380.11</v>
      </c>
      <c r="V106" s="45">
        <f>2747.61+3310.6+36.42</f>
        <v>6094.63</v>
      </c>
      <c r="W106" s="67"/>
      <c r="X106" s="67"/>
      <c r="Y106" s="154">
        <f>'5 lentelė'!R105</f>
        <v>2019</v>
      </c>
      <c r="Z106" s="155">
        <f>'5 lentelė'!S105</f>
        <v>0</v>
      </c>
      <c r="AA106" s="152">
        <f t="shared" si="28"/>
        <v>0</v>
      </c>
      <c r="AB106" s="117">
        <v>1</v>
      </c>
      <c r="AC106" s="161">
        <v>27</v>
      </c>
      <c r="AD106" s="161" t="s">
        <v>86</v>
      </c>
      <c r="AE106" s="161"/>
      <c r="AF106" s="161"/>
      <c r="AG106" s="162"/>
      <c r="AH106" s="161"/>
      <c r="AI106" s="161"/>
      <c r="AJ106" s="161"/>
      <c r="AK106" s="161"/>
      <c r="AL106" s="161"/>
    </row>
    <row r="107" spans="2:38" x14ac:dyDescent="0.25">
      <c r="B107" s="79" t="s">
        <v>535</v>
      </c>
      <c r="C107" s="68"/>
      <c r="D107" s="365" t="s">
        <v>536</v>
      </c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7"/>
      <c r="Y107" s="174"/>
      <c r="Z107" s="175"/>
      <c r="AA107" s="176"/>
      <c r="AB107" s="128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</row>
    <row r="108" spans="2:38" ht="24" x14ac:dyDescent="0.25">
      <c r="B108" s="59" t="s">
        <v>537</v>
      </c>
      <c r="C108" s="41"/>
      <c r="D108" s="47" t="s">
        <v>773</v>
      </c>
      <c r="E108" s="54" t="s">
        <v>294</v>
      </c>
      <c r="F108" s="55" t="s">
        <v>520</v>
      </c>
      <c r="G108" s="55" t="s">
        <v>539</v>
      </c>
      <c r="H108" s="53" t="s">
        <v>540</v>
      </c>
      <c r="I108" s="55" t="s">
        <v>298</v>
      </c>
      <c r="J108" s="57"/>
      <c r="K108" s="45">
        <f t="shared" ref="K108:L111" si="29">M108+O108+Q108+S108+U108+W108</f>
        <v>557789.41</v>
      </c>
      <c r="L108" s="45">
        <f t="shared" si="29"/>
        <v>2199.34</v>
      </c>
      <c r="M108" s="45">
        <v>83668.41</v>
      </c>
      <c r="N108" s="45">
        <v>329.9</v>
      </c>
      <c r="O108" s="64"/>
      <c r="P108" s="64"/>
      <c r="Q108" s="45"/>
      <c r="R108" s="45"/>
      <c r="S108" s="45"/>
      <c r="T108" s="45"/>
      <c r="U108" s="45">
        <v>474121</v>
      </c>
      <c r="V108" s="45">
        <v>1869.44</v>
      </c>
      <c r="W108" s="67"/>
      <c r="X108" s="118"/>
      <c r="Y108" s="154">
        <f>'5 lentelė'!R107</f>
        <v>2020</v>
      </c>
      <c r="Z108" s="155">
        <f>'5 lentelė'!S107</f>
        <v>0</v>
      </c>
      <c r="AA108" s="152">
        <f>IF(YEAR(Z108)=2018,AB108,0)</f>
        <v>0</v>
      </c>
      <c r="AB108" s="117">
        <v>1</v>
      </c>
      <c r="AC108" s="296">
        <v>26</v>
      </c>
      <c r="AD108" s="289" t="s">
        <v>85</v>
      </c>
      <c r="AE108" s="161"/>
      <c r="AF108" s="161"/>
      <c r="AG108" s="162"/>
      <c r="AH108" s="161"/>
      <c r="AI108" s="161"/>
      <c r="AJ108" s="161"/>
      <c r="AK108" s="161"/>
      <c r="AL108" s="161"/>
    </row>
    <row r="109" spans="2:38" ht="24" x14ac:dyDescent="0.25">
      <c r="B109" s="59" t="s">
        <v>543</v>
      </c>
      <c r="C109" s="41"/>
      <c r="D109" s="47" t="s">
        <v>544</v>
      </c>
      <c r="E109" s="54" t="s">
        <v>308</v>
      </c>
      <c r="F109" s="55" t="s">
        <v>520</v>
      </c>
      <c r="G109" s="55" t="s">
        <v>545</v>
      </c>
      <c r="H109" s="53" t="s">
        <v>540</v>
      </c>
      <c r="I109" s="55" t="s">
        <v>298</v>
      </c>
      <c r="J109" s="57"/>
      <c r="K109" s="45">
        <f t="shared" si="29"/>
        <v>203981.18</v>
      </c>
      <c r="L109" s="45">
        <f t="shared" si="29"/>
        <v>147372.69</v>
      </c>
      <c r="M109" s="45">
        <v>30597.18</v>
      </c>
      <c r="N109" s="45">
        <v>12325.37</v>
      </c>
      <c r="O109" s="64"/>
      <c r="P109" s="64"/>
      <c r="Q109" s="45"/>
      <c r="R109" s="45"/>
      <c r="S109" s="45"/>
      <c r="T109" s="45"/>
      <c r="U109" s="45">
        <v>173384</v>
      </c>
      <c r="V109" s="45">
        <f>80709.7+18075.09+59.65+47.83+14493.3+21590.5+71.25</f>
        <v>135047.32</v>
      </c>
      <c r="W109" s="67"/>
      <c r="X109" s="118"/>
      <c r="Y109" s="154">
        <f>'5 lentelė'!R108</f>
        <v>2018</v>
      </c>
      <c r="Z109" s="155">
        <f>'5 lentelė'!S108</f>
        <v>0</v>
      </c>
      <c r="AA109" s="152">
        <f t="shared" ref="AA109:AA111" si="30">IF(YEAR(Z109)=2018,AB109,0)</f>
        <v>0</v>
      </c>
      <c r="AB109" s="117">
        <v>1</v>
      </c>
      <c r="AC109" s="161">
        <v>25</v>
      </c>
      <c r="AD109" s="161" t="s">
        <v>84</v>
      </c>
      <c r="AE109" s="161"/>
      <c r="AF109" s="161"/>
      <c r="AG109" s="162"/>
      <c r="AH109" s="161"/>
      <c r="AI109" s="161"/>
      <c r="AJ109" s="161"/>
      <c r="AK109" s="161"/>
      <c r="AL109" s="161"/>
    </row>
    <row r="110" spans="2:38" ht="24" x14ac:dyDescent="0.25">
      <c r="B110" s="59" t="s">
        <v>546</v>
      </c>
      <c r="C110" s="41"/>
      <c r="D110" s="47" t="s">
        <v>547</v>
      </c>
      <c r="E110" s="54" t="s">
        <v>328</v>
      </c>
      <c r="F110" s="55" t="s">
        <v>520</v>
      </c>
      <c r="G110" s="55" t="s">
        <v>356</v>
      </c>
      <c r="H110" s="53" t="s">
        <v>540</v>
      </c>
      <c r="I110" s="55" t="s">
        <v>298</v>
      </c>
      <c r="J110" s="57"/>
      <c r="K110" s="45">
        <f t="shared" si="29"/>
        <v>297848.24</v>
      </c>
      <c r="L110" s="45">
        <f t="shared" si="29"/>
        <v>192586.7</v>
      </c>
      <c r="M110" s="45">
        <v>44677.24</v>
      </c>
      <c r="N110" s="45">
        <v>17253.38</v>
      </c>
      <c r="O110" s="64"/>
      <c r="P110" s="64"/>
      <c r="Q110" s="45"/>
      <c r="R110" s="45"/>
      <c r="S110" s="45"/>
      <c r="T110" s="45"/>
      <c r="U110" s="45">
        <v>253171</v>
      </c>
      <c r="V110" s="45">
        <f>147562.4+69.35+27701.57</f>
        <v>175333.32</v>
      </c>
      <c r="W110" s="67"/>
      <c r="X110" s="118"/>
      <c r="Y110" s="154">
        <f>'5 lentelė'!R109</f>
        <v>2018</v>
      </c>
      <c r="Z110" s="155">
        <f>'5 lentelė'!S109</f>
        <v>0</v>
      </c>
      <c r="AA110" s="152">
        <f t="shared" si="30"/>
        <v>0</v>
      </c>
      <c r="AB110" s="117">
        <v>1</v>
      </c>
      <c r="AC110" s="161">
        <v>26</v>
      </c>
      <c r="AD110" s="161" t="s">
        <v>85</v>
      </c>
      <c r="AE110" s="161"/>
      <c r="AF110" s="161"/>
      <c r="AG110" s="162"/>
      <c r="AH110" s="161"/>
      <c r="AI110" s="161"/>
      <c r="AJ110" s="161"/>
      <c r="AK110" s="161"/>
      <c r="AL110" s="161"/>
    </row>
    <row r="111" spans="2:38" ht="24" x14ac:dyDescent="0.25">
      <c r="B111" s="59" t="s">
        <v>549</v>
      </c>
      <c r="C111" s="41"/>
      <c r="D111" s="47" t="s">
        <v>550</v>
      </c>
      <c r="E111" s="54" t="s">
        <v>304</v>
      </c>
      <c r="F111" s="55" t="s">
        <v>520</v>
      </c>
      <c r="G111" s="55" t="s">
        <v>390</v>
      </c>
      <c r="H111" s="53" t="s">
        <v>540</v>
      </c>
      <c r="I111" s="55" t="s">
        <v>298</v>
      </c>
      <c r="J111" s="57"/>
      <c r="K111" s="45">
        <f t="shared" si="29"/>
        <v>1467581.1764705882</v>
      </c>
      <c r="L111" s="45">
        <f t="shared" si="29"/>
        <v>640145.24</v>
      </c>
      <c r="M111" s="45">
        <v>220137.17647058822</v>
      </c>
      <c r="N111" s="45">
        <v>66416.850000000006</v>
      </c>
      <c r="O111" s="64"/>
      <c r="P111" s="64"/>
      <c r="Q111" s="45"/>
      <c r="R111" s="45"/>
      <c r="S111" s="45"/>
      <c r="T111" s="45"/>
      <c r="U111" s="45">
        <v>1247444</v>
      </c>
      <c r="V111" s="45">
        <f>512360.71+61367.68</f>
        <v>573728.39</v>
      </c>
      <c r="W111" s="67"/>
      <c r="X111" s="118"/>
      <c r="Y111" s="154">
        <f>'5 lentelė'!R110</f>
        <v>2019</v>
      </c>
      <c r="Z111" s="155">
        <f>'5 lentelė'!S110</f>
        <v>0</v>
      </c>
      <c r="AA111" s="152">
        <f t="shared" si="30"/>
        <v>0</v>
      </c>
      <c r="AB111" s="117">
        <v>1</v>
      </c>
      <c r="AC111" s="161">
        <v>26</v>
      </c>
      <c r="AD111" s="161" t="s">
        <v>85</v>
      </c>
      <c r="AE111" s="161"/>
      <c r="AF111" s="161"/>
      <c r="AG111" s="162"/>
      <c r="AH111" s="161"/>
      <c r="AI111" s="161"/>
      <c r="AJ111" s="161"/>
      <c r="AK111" s="161"/>
      <c r="AL111" s="161"/>
    </row>
    <row r="112" spans="2:38" ht="15" customHeight="1" x14ac:dyDescent="0.25">
      <c r="B112" s="69" t="s">
        <v>669</v>
      </c>
      <c r="C112" s="70"/>
      <c r="D112" s="407" t="s">
        <v>552</v>
      </c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9"/>
      <c r="Y112" s="168"/>
      <c r="Z112" s="169"/>
      <c r="AA112" s="170"/>
      <c r="AB112" s="171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</row>
    <row r="113" spans="2:38" ht="15" customHeight="1" x14ac:dyDescent="0.25">
      <c r="B113" s="69" t="s">
        <v>670</v>
      </c>
      <c r="C113" s="70"/>
      <c r="D113" s="407" t="s">
        <v>553</v>
      </c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9"/>
      <c r="Y113" s="168"/>
      <c r="Z113" s="169"/>
      <c r="AA113" s="170"/>
      <c r="AB113" s="171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</row>
    <row r="114" spans="2:38" ht="15" customHeight="1" x14ac:dyDescent="0.25">
      <c r="B114" s="79" t="s">
        <v>554</v>
      </c>
      <c r="C114" s="68"/>
      <c r="D114" s="410" t="s">
        <v>555</v>
      </c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1"/>
      <c r="X114" s="412"/>
      <c r="Y114" s="174"/>
      <c r="Z114" s="175"/>
      <c r="AA114" s="176"/>
      <c r="AB114" s="128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</row>
    <row r="115" spans="2:38" ht="36" x14ac:dyDescent="0.25">
      <c r="B115" s="59" t="s">
        <v>556</v>
      </c>
      <c r="C115" s="41"/>
      <c r="D115" s="43" t="s">
        <v>557</v>
      </c>
      <c r="E115" s="54" t="s">
        <v>308</v>
      </c>
      <c r="F115" s="55" t="s">
        <v>295</v>
      </c>
      <c r="G115" s="55" t="s">
        <v>433</v>
      </c>
      <c r="H115" s="55" t="s">
        <v>558</v>
      </c>
      <c r="I115" s="55" t="s">
        <v>298</v>
      </c>
      <c r="J115" s="57"/>
      <c r="K115" s="45">
        <f>M115+O115+Q115+S115+U115+W115</f>
        <v>510000</v>
      </c>
      <c r="L115" s="45">
        <f>N115+P115+R115+T115+V115+X115</f>
        <v>105802.4</v>
      </c>
      <c r="M115" s="73">
        <v>76500</v>
      </c>
      <c r="N115" s="73">
        <v>15870.36</v>
      </c>
      <c r="O115" s="99"/>
      <c r="P115" s="99"/>
      <c r="Q115" s="49"/>
      <c r="R115" s="49"/>
      <c r="S115" s="49"/>
      <c r="T115" s="49"/>
      <c r="U115" s="49">
        <v>433500</v>
      </c>
      <c r="V115" s="49">
        <v>89932.04</v>
      </c>
      <c r="W115" s="67"/>
      <c r="X115" s="67"/>
      <c r="Y115" s="154">
        <f>'5 lentelė'!R114</f>
        <v>2019</v>
      </c>
      <c r="Z115" s="155">
        <f>'5 lentelė'!S114</f>
        <v>0</v>
      </c>
      <c r="AA115" s="152">
        <f>IF(YEAR(Z115)=2018,AB115,0)</f>
        <v>0</v>
      </c>
      <c r="AB115" s="117">
        <v>1</v>
      </c>
      <c r="AC115" s="159">
        <v>49</v>
      </c>
      <c r="AD115" s="159" t="s">
        <v>107</v>
      </c>
      <c r="AE115" s="159"/>
      <c r="AF115" s="159"/>
      <c r="AG115" s="162"/>
      <c r="AH115" s="159"/>
      <c r="AI115" s="159"/>
      <c r="AJ115" s="159"/>
      <c r="AK115" s="159"/>
      <c r="AL115" s="159"/>
    </row>
    <row r="116" spans="2:38" ht="36" x14ac:dyDescent="0.25">
      <c r="B116" s="59" t="s">
        <v>563</v>
      </c>
      <c r="C116" s="41"/>
      <c r="D116" s="43" t="s">
        <v>564</v>
      </c>
      <c r="E116" s="54" t="s">
        <v>308</v>
      </c>
      <c r="F116" s="55" t="s">
        <v>295</v>
      </c>
      <c r="G116" s="55" t="s">
        <v>433</v>
      </c>
      <c r="H116" s="55" t="s">
        <v>558</v>
      </c>
      <c r="I116" s="55" t="s">
        <v>298</v>
      </c>
      <c r="J116" s="57"/>
      <c r="K116" s="45">
        <f>M116+O116+Q116+S116+U116+W116</f>
        <v>421508</v>
      </c>
      <c r="L116" s="45">
        <f>N116+P116+R116+T116+V116+X116</f>
        <v>0</v>
      </c>
      <c r="M116" s="73">
        <v>63227</v>
      </c>
      <c r="N116" s="73"/>
      <c r="O116" s="73"/>
      <c r="P116" s="73"/>
      <c r="Q116" s="49"/>
      <c r="R116" s="49"/>
      <c r="S116" s="49"/>
      <c r="T116" s="49"/>
      <c r="U116" s="49">
        <v>358281</v>
      </c>
      <c r="V116" s="49"/>
      <c r="W116" s="67"/>
      <c r="X116" s="67"/>
      <c r="Y116" s="154">
        <f>'5 lentelė'!R115</f>
        <v>2021</v>
      </c>
      <c r="Z116" s="155">
        <f>'5 lentelė'!S115</f>
        <v>0</v>
      </c>
      <c r="AA116" s="152">
        <f>IF(YEAR(Z116)=2018,AB116,0)</f>
        <v>0</v>
      </c>
      <c r="AB116" s="117">
        <v>1</v>
      </c>
      <c r="AC116" s="159">
        <v>49</v>
      </c>
      <c r="AD116" s="159" t="s">
        <v>107</v>
      </c>
      <c r="AE116" s="159"/>
      <c r="AF116" s="159"/>
      <c r="AG116" s="162"/>
      <c r="AH116" s="159"/>
      <c r="AI116" s="159"/>
      <c r="AJ116" s="159"/>
      <c r="AK116" s="159"/>
      <c r="AL116" s="159"/>
    </row>
    <row r="117" spans="2:38" ht="15" customHeight="1" x14ac:dyDescent="0.25">
      <c r="B117" s="69" t="s">
        <v>671</v>
      </c>
      <c r="C117" s="70"/>
      <c r="D117" s="407" t="s">
        <v>661</v>
      </c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408"/>
      <c r="U117" s="408"/>
      <c r="V117" s="408"/>
      <c r="W117" s="408"/>
      <c r="X117" s="409"/>
      <c r="Y117" s="168"/>
      <c r="Z117" s="169"/>
      <c r="AA117" s="170"/>
      <c r="AB117" s="171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</row>
    <row r="118" spans="2:38" ht="15" customHeight="1" x14ac:dyDescent="0.25">
      <c r="B118" s="69" t="s">
        <v>672</v>
      </c>
      <c r="C118" s="70"/>
      <c r="D118" s="407" t="s">
        <v>567</v>
      </c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9"/>
      <c r="Y118" s="168"/>
      <c r="Z118" s="169"/>
      <c r="AA118" s="170"/>
      <c r="AB118" s="171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</row>
    <row r="119" spans="2:38" ht="15" customHeight="1" x14ac:dyDescent="0.25">
      <c r="B119" s="69" t="s">
        <v>673</v>
      </c>
      <c r="C119" s="70"/>
      <c r="D119" s="407" t="s">
        <v>568</v>
      </c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8"/>
      <c r="X119" s="409"/>
      <c r="Y119" s="168"/>
      <c r="Z119" s="169"/>
      <c r="AA119" s="170"/>
      <c r="AB119" s="171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</row>
    <row r="120" spans="2:38" ht="15" customHeight="1" x14ac:dyDescent="0.25">
      <c r="B120" s="79" t="s">
        <v>569</v>
      </c>
      <c r="C120" s="68"/>
      <c r="D120" s="410" t="s">
        <v>570</v>
      </c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411"/>
      <c r="W120" s="411"/>
      <c r="X120" s="412"/>
      <c r="Y120" s="174"/>
      <c r="Z120" s="175"/>
      <c r="AA120" s="176"/>
      <c r="AB120" s="128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</row>
    <row r="121" spans="2:38" ht="36" x14ac:dyDescent="0.25">
      <c r="B121" s="59" t="s">
        <v>571</v>
      </c>
      <c r="C121" s="41"/>
      <c r="D121" s="47" t="s">
        <v>572</v>
      </c>
      <c r="E121" s="54" t="s">
        <v>573</v>
      </c>
      <c r="F121" s="55" t="s">
        <v>574</v>
      </c>
      <c r="G121" s="55" t="s">
        <v>575</v>
      </c>
      <c r="H121" s="53" t="s">
        <v>576</v>
      </c>
      <c r="I121" s="55" t="s">
        <v>298</v>
      </c>
      <c r="J121" s="57"/>
      <c r="K121" s="45">
        <f t="shared" ref="K121:K128" si="31">M121+O121+Q121+S121+U121+W121</f>
        <v>1538175.43</v>
      </c>
      <c r="L121" s="45">
        <f t="shared" ref="L121:L128" si="32">N121+P121+R121+T121+V121+X121</f>
        <v>180773.36000000002</v>
      </c>
      <c r="M121" s="45">
        <v>350264.18</v>
      </c>
      <c r="N121" s="45">
        <v>57331.15</v>
      </c>
      <c r="O121" s="45"/>
      <c r="P121" s="45"/>
      <c r="Q121" s="45"/>
      <c r="R121" s="45"/>
      <c r="S121" s="45"/>
      <c r="T121" s="45"/>
      <c r="U121" s="45">
        <v>1187911.25</v>
      </c>
      <c r="V121" s="45">
        <f>119677.07+3765.14</f>
        <v>123442.21</v>
      </c>
      <c r="W121" s="67"/>
      <c r="X121" s="118"/>
      <c r="Y121" s="154">
        <f>'5 lentelė'!R120</f>
        <v>2020</v>
      </c>
      <c r="Z121" s="155">
        <f>'5 lentelė'!S120</f>
        <v>0</v>
      </c>
      <c r="AA121" s="152">
        <f>IF(YEAR(Z121)=2018,AB121,0)</f>
        <v>0</v>
      </c>
      <c r="AB121" s="117">
        <v>1</v>
      </c>
      <c r="AC121" s="159">
        <v>7</v>
      </c>
      <c r="AD121" s="159" t="s">
        <v>67</v>
      </c>
      <c r="AE121" s="159">
        <v>6</v>
      </c>
      <c r="AF121" s="159" t="s">
        <v>577</v>
      </c>
      <c r="AG121" s="162"/>
      <c r="AH121" s="161"/>
      <c r="AI121" s="161"/>
      <c r="AJ121" s="161"/>
      <c r="AK121" s="161"/>
      <c r="AL121" s="161"/>
    </row>
    <row r="122" spans="2:38" ht="48" x14ac:dyDescent="0.25">
      <c r="B122" s="59" t="s">
        <v>584</v>
      </c>
      <c r="C122" s="41"/>
      <c r="D122" s="47" t="s">
        <v>585</v>
      </c>
      <c r="E122" s="53" t="s">
        <v>586</v>
      </c>
      <c r="F122" s="53" t="s">
        <v>574</v>
      </c>
      <c r="G122" s="53" t="s">
        <v>545</v>
      </c>
      <c r="H122" s="53" t="s">
        <v>576</v>
      </c>
      <c r="I122" s="53" t="s">
        <v>298</v>
      </c>
      <c r="J122" s="52"/>
      <c r="K122" s="45">
        <f t="shared" si="31"/>
        <v>617660.84</v>
      </c>
      <c r="L122" s="45">
        <f t="shared" si="32"/>
        <v>563774.54999999993</v>
      </c>
      <c r="M122" s="49">
        <v>262385.8</v>
      </c>
      <c r="N122" s="49">
        <v>242720.22</v>
      </c>
      <c r="O122" s="45"/>
      <c r="P122" s="45"/>
      <c r="Q122" s="49"/>
      <c r="R122" s="49"/>
      <c r="S122" s="49"/>
      <c r="T122" s="49"/>
      <c r="U122" s="49">
        <v>355275.04</v>
      </c>
      <c r="V122" s="49">
        <f>305632.47+15421.86</f>
        <v>321054.32999999996</v>
      </c>
      <c r="W122" s="67"/>
      <c r="X122" s="118"/>
      <c r="Y122" s="154">
        <f>'5 lentelė'!R121</f>
        <v>2019</v>
      </c>
      <c r="Z122" s="155">
        <f>'5 lentelė'!S121</f>
        <v>0</v>
      </c>
      <c r="AA122" s="152">
        <f t="shared" ref="AA122:AA128" si="33">IF(YEAR(Z122)=2018,AB122,0)</f>
        <v>0</v>
      </c>
      <c r="AB122" s="117">
        <v>1</v>
      </c>
      <c r="AC122" s="159">
        <v>6</v>
      </c>
      <c r="AD122" s="159" t="s">
        <v>577</v>
      </c>
      <c r="AE122" s="159">
        <v>7</v>
      </c>
      <c r="AF122" s="159" t="s">
        <v>67</v>
      </c>
      <c r="AG122" s="162"/>
      <c r="AH122" s="159"/>
      <c r="AI122" s="159"/>
      <c r="AJ122" s="159"/>
      <c r="AK122" s="159"/>
      <c r="AL122" s="159"/>
    </row>
    <row r="123" spans="2:38" ht="24" x14ac:dyDescent="0.25">
      <c r="B123" s="59" t="s">
        <v>589</v>
      </c>
      <c r="C123" s="41"/>
      <c r="D123" s="47" t="s">
        <v>590</v>
      </c>
      <c r="E123" s="53" t="s">
        <v>591</v>
      </c>
      <c r="F123" s="53" t="s">
        <v>574</v>
      </c>
      <c r="G123" s="53" t="s">
        <v>426</v>
      </c>
      <c r="H123" s="53" t="s">
        <v>576</v>
      </c>
      <c r="I123" s="53" t="s">
        <v>298</v>
      </c>
      <c r="J123" s="52"/>
      <c r="K123" s="45">
        <f t="shared" si="31"/>
        <v>1902679.07</v>
      </c>
      <c r="L123" s="45">
        <f t="shared" si="32"/>
        <v>1563358.62</v>
      </c>
      <c r="M123" s="49">
        <v>743921.52</v>
      </c>
      <c r="N123" s="49">
        <v>615119.1</v>
      </c>
      <c r="O123" s="45"/>
      <c r="P123" s="45"/>
      <c r="Q123" s="49"/>
      <c r="R123" s="49"/>
      <c r="S123" s="49"/>
      <c r="T123" s="49"/>
      <c r="U123" s="49">
        <v>1158757.55</v>
      </c>
      <c r="V123" s="49">
        <f>879507.06+59413.61+9318.85</f>
        <v>948239.52</v>
      </c>
      <c r="W123" s="67"/>
      <c r="X123" s="118"/>
      <c r="Y123" s="154">
        <f>'5 lentelė'!R122</f>
        <v>2019</v>
      </c>
      <c r="Z123" s="155">
        <f>'5 lentelė'!S122</f>
        <v>0</v>
      </c>
      <c r="AA123" s="152">
        <f t="shared" si="33"/>
        <v>0</v>
      </c>
      <c r="AB123" s="117">
        <v>1</v>
      </c>
      <c r="AC123" s="159">
        <v>7</v>
      </c>
      <c r="AD123" s="159" t="s">
        <v>67</v>
      </c>
      <c r="AE123" s="159">
        <v>6</v>
      </c>
      <c r="AF123" s="159" t="s">
        <v>577</v>
      </c>
      <c r="AG123" s="162"/>
      <c r="AH123" s="159"/>
      <c r="AI123" s="159"/>
      <c r="AJ123" s="159"/>
      <c r="AK123" s="159"/>
      <c r="AL123" s="159"/>
    </row>
    <row r="124" spans="2:38" ht="36" x14ac:dyDescent="0.25">
      <c r="B124" s="59" t="s">
        <v>594</v>
      </c>
      <c r="C124" s="41"/>
      <c r="D124" s="47" t="s">
        <v>595</v>
      </c>
      <c r="E124" s="53" t="s">
        <v>596</v>
      </c>
      <c r="F124" s="53" t="s">
        <v>574</v>
      </c>
      <c r="G124" s="53" t="s">
        <v>390</v>
      </c>
      <c r="H124" s="53" t="s">
        <v>576</v>
      </c>
      <c r="I124" s="53" t="s">
        <v>298</v>
      </c>
      <c r="J124" s="52"/>
      <c r="K124" s="45">
        <f t="shared" si="31"/>
        <v>2854494.11</v>
      </c>
      <c r="L124" s="45">
        <f t="shared" si="32"/>
        <v>1762702.69</v>
      </c>
      <c r="M124" s="49">
        <v>603558.57999999996</v>
      </c>
      <c r="N124" s="49">
        <v>334802.96000000002</v>
      </c>
      <c r="O124" s="45"/>
      <c r="P124" s="45"/>
      <c r="Q124" s="49">
        <v>603558.57999999996</v>
      </c>
      <c r="R124" s="49">
        <v>334802.96999999997</v>
      </c>
      <c r="S124" s="49"/>
      <c r="T124" s="49"/>
      <c r="U124" s="49">
        <v>1647376.95</v>
      </c>
      <c r="V124" s="49">
        <f>897269.05+195827.71</f>
        <v>1093096.76</v>
      </c>
      <c r="W124" s="67"/>
      <c r="X124" s="118"/>
      <c r="Y124" s="154">
        <f>'5 lentelė'!R123</f>
        <v>2019</v>
      </c>
      <c r="Z124" s="155">
        <f>'5 lentelė'!S123</f>
        <v>0</v>
      </c>
      <c r="AA124" s="152">
        <f t="shared" si="33"/>
        <v>0</v>
      </c>
      <c r="AB124" s="117">
        <v>1</v>
      </c>
      <c r="AC124" s="159">
        <v>6</v>
      </c>
      <c r="AD124" s="159" t="s">
        <v>597</v>
      </c>
      <c r="AE124" s="159">
        <v>7</v>
      </c>
      <c r="AF124" s="159" t="s">
        <v>67</v>
      </c>
      <c r="AG124" s="162"/>
      <c r="AH124" s="159"/>
      <c r="AI124" s="159"/>
      <c r="AJ124" s="159"/>
      <c r="AK124" s="159"/>
      <c r="AL124" s="159"/>
    </row>
    <row r="125" spans="2:38" ht="36" x14ac:dyDescent="0.25">
      <c r="B125" s="92" t="s">
        <v>598</v>
      </c>
      <c r="C125" s="93"/>
      <c r="D125" s="47" t="s">
        <v>599</v>
      </c>
      <c r="E125" s="53" t="s">
        <v>573</v>
      </c>
      <c r="F125" s="53" t="s">
        <v>574</v>
      </c>
      <c r="G125" s="53" t="s">
        <v>575</v>
      </c>
      <c r="H125" s="53" t="s">
        <v>576</v>
      </c>
      <c r="I125" s="53" t="s">
        <v>298</v>
      </c>
      <c r="J125" s="48"/>
      <c r="K125" s="45">
        <f t="shared" si="31"/>
        <v>444870</v>
      </c>
      <c r="L125" s="45">
        <f t="shared" si="32"/>
        <v>0</v>
      </c>
      <c r="M125" s="49">
        <v>320131.20000000001</v>
      </c>
      <c r="N125" s="49"/>
      <c r="O125" s="45"/>
      <c r="P125" s="45"/>
      <c r="Q125" s="49"/>
      <c r="R125" s="49"/>
      <c r="S125" s="49"/>
      <c r="T125" s="49"/>
      <c r="U125" s="49">
        <v>124738.8</v>
      </c>
      <c r="V125" s="49"/>
      <c r="W125" s="67"/>
      <c r="X125" s="67"/>
      <c r="Y125" s="154">
        <f>'5 lentelė'!R124</f>
        <v>2020</v>
      </c>
      <c r="Z125" s="155">
        <f>'5 lentelė'!S124</f>
        <v>0</v>
      </c>
      <c r="AA125" s="152">
        <f t="shared" si="33"/>
        <v>0</v>
      </c>
      <c r="AB125" s="117">
        <v>1</v>
      </c>
      <c r="AC125" s="166">
        <v>6</v>
      </c>
      <c r="AD125" s="166" t="s">
        <v>597</v>
      </c>
      <c r="AE125" s="166">
        <v>7</v>
      </c>
      <c r="AF125" s="166" t="s">
        <v>67</v>
      </c>
      <c r="AG125" s="162"/>
      <c r="AH125" s="159"/>
      <c r="AI125" s="159"/>
      <c r="AJ125" s="159"/>
      <c r="AK125" s="159"/>
      <c r="AL125" s="159"/>
    </row>
    <row r="126" spans="2:38" ht="24" x14ac:dyDescent="0.25">
      <c r="B126" s="92" t="s">
        <v>600</v>
      </c>
      <c r="C126" s="93"/>
      <c r="D126" s="47" t="s">
        <v>601</v>
      </c>
      <c r="E126" s="53" t="s">
        <v>586</v>
      </c>
      <c r="F126" s="53" t="s">
        <v>574</v>
      </c>
      <c r="G126" s="53" t="s">
        <v>545</v>
      </c>
      <c r="H126" s="53" t="s">
        <v>576</v>
      </c>
      <c r="I126" s="53" t="s">
        <v>298</v>
      </c>
      <c r="J126" s="48"/>
      <c r="K126" s="45">
        <f t="shared" si="31"/>
        <v>136161.48000000001</v>
      </c>
      <c r="L126" s="45">
        <f t="shared" si="32"/>
        <v>0</v>
      </c>
      <c r="M126" s="49">
        <v>29723.21</v>
      </c>
      <c r="N126" s="49"/>
      <c r="O126" s="45"/>
      <c r="P126" s="45"/>
      <c r="Q126" s="49"/>
      <c r="R126" s="49"/>
      <c r="S126" s="49"/>
      <c r="T126" s="49"/>
      <c r="U126" s="49">
        <v>106438.27</v>
      </c>
      <c r="V126" s="49"/>
      <c r="W126" s="67"/>
      <c r="X126" s="67"/>
      <c r="Y126" s="154">
        <f>'5 lentelė'!R125</f>
        <v>2019</v>
      </c>
      <c r="Z126" s="155">
        <f>'5 lentelė'!S125</f>
        <v>0</v>
      </c>
      <c r="AA126" s="152">
        <f t="shared" si="33"/>
        <v>0</v>
      </c>
      <c r="AB126" s="117">
        <v>1</v>
      </c>
      <c r="AC126" s="166">
        <v>7</v>
      </c>
      <c r="AD126" s="166" t="s">
        <v>67</v>
      </c>
      <c r="AE126" s="166"/>
      <c r="AF126" s="166"/>
      <c r="AG126" s="162"/>
      <c r="AH126" s="159"/>
      <c r="AI126" s="159"/>
      <c r="AJ126" s="159"/>
      <c r="AK126" s="159"/>
      <c r="AL126" s="159"/>
    </row>
    <row r="127" spans="2:38" ht="24" x14ac:dyDescent="0.25">
      <c r="B127" s="92" t="s">
        <v>602</v>
      </c>
      <c r="C127" s="93"/>
      <c r="D127" s="47" t="s">
        <v>603</v>
      </c>
      <c r="E127" s="53" t="s">
        <v>591</v>
      </c>
      <c r="F127" s="53" t="s">
        <v>574</v>
      </c>
      <c r="G127" s="53" t="s">
        <v>426</v>
      </c>
      <c r="H127" s="53" t="s">
        <v>576</v>
      </c>
      <c r="I127" s="53" t="s">
        <v>298</v>
      </c>
      <c r="J127" s="48"/>
      <c r="K127" s="45">
        <f t="shared" si="31"/>
        <v>548947.86</v>
      </c>
      <c r="L127" s="45">
        <f t="shared" si="32"/>
        <v>0</v>
      </c>
      <c r="M127" s="49">
        <v>274473.93</v>
      </c>
      <c r="N127" s="49"/>
      <c r="O127" s="45"/>
      <c r="P127" s="45"/>
      <c r="Q127" s="49"/>
      <c r="R127" s="49"/>
      <c r="S127" s="49"/>
      <c r="T127" s="49"/>
      <c r="U127" s="49">
        <v>274473.93</v>
      </c>
      <c r="V127" s="49"/>
      <c r="W127" s="67"/>
      <c r="X127" s="67"/>
      <c r="Y127" s="154">
        <f>'5 lentelė'!R126</f>
        <v>2020</v>
      </c>
      <c r="Z127" s="155">
        <f>'5 lentelė'!S126</f>
        <v>0</v>
      </c>
      <c r="AA127" s="152">
        <f t="shared" si="33"/>
        <v>0</v>
      </c>
      <c r="AB127" s="117">
        <v>1</v>
      </c>
      <c r="AC127" s="166">
        <v>7</v>
      </c>
      <c r="AD127" s="166" t="s">
        <v>67</v>
      </c>
      <c r="AE127" s="166"/>
      <c r="AF127" s="166"/>
      <c r="AG127" s="162"/>
      <c r="AH127" s="159"/>
      <c r="AI127" s="159"/>
      <c r="AJ127" s="159"/>
      <c r="AK127" s="159"/>
      <c r="AL127" s="159"/>
    </row>
    <row r="128" spans="2:38" ht="36" x14ac:dyDescent="0.25">
      <c r="B128" s="92" t="s">
        <v>604</v>
      </c>
      <c r="C128" s="93"/>
      <c r="D128" s="47" t="s">
        <v>605</v>
      </c>
      <c r="E128" s="53" t="s">
        <v>596</v>
      </c>
      <c r="F128" s="53" t="s">
        <v>574</v>
      </c>
      <c r="G128" s="53" t="s">
        <v>320</v>
      </c>
      <c r="H128" s="53" t="s">
        <v>576</v>
      </c>
      <c r="I128" s="53" t="s">
        <v>298</v>
      </c>
      <c r="J128" s="48"/>
      <c r="K128" s="45">
        <f t="shared" si="31"/>
        <v>646255.83000000007</v>
      </c>
      <c r="L128" s="45">
        <f t="shared" si="32"/>
        <v>0</v>
      </c>
      <c r="M128" s="91">
        <v>150423.45000000001</v>
      </c>
      <c r="N128" s="49"/>
      <c r="O128" s="45"/>
      <c r="P128" s="45"/>
      <c r="Q128" s="91">
        <v>150423.45000000001</v>
      </c>
      <c r="R128" s="49"/>
      <c r="S128" s="49"/>
      <c r="T128" s="49"/>
      <c r="U128" s="91">
        <v>345408.93</v>
      </c>
      <c r="V128" s="49"/>
      <c r="W128" s="67"/>
      <c r="X128" s="67"/>
      <c r="Y128" s="154">
        <f>'5 lentelė'!R127</f>
        <v>2020</v>
      </c>
      <c r="Z128" s="155">
        <f>'5 lentelė'!S127</f>
        <v>0</v>
      </c>
      <c r="AA128" s="152">
        <f t="shared" si="33"/>
        <v>0</v>
      </c>
      <c r="AB128" s="117">
        <v>1</v>
      </c>
      <c r="AC128" s="166">
        <v>6</v>
      </c>
      <c r="AD128" s="166" t="s">
        <v>597</v>
      </c>
      <c r="AE128" s="166">
        <v>7</v>
      </c>
      <c r="AF128" s="166" t="s">
        <v>67</v>
      </c>
      <c r="AG128" s="162"/>
      <c r="AH128" s="159"/>
      <c r="AI128" s="159"/>
      <c r="AJ128" s="159"/>
      <c r="AK128" s="159"/>
      <c r="AL128" s="159"/>
    </row>
    <row r="129" spans="2:38" ht="15" customHeight="1" x14ac:dyDescent="0.25">
      <c r="B129" s="79" t="s">
        <v>606</v>
      </c>
      <c r="C129" s="68"/>
      <c r="D129" s="410" t="s">
        <v>607</v>
      </c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2"/>
      <c r="Y129" s="174"/>
      <c r="Z129" s="175"/>
      <c r="AA129" s="176"/>
      <c r="AB129" s="128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</row>
    <row r="130" spans="2:38" ht="24" x14ac:dyDescent="0.25">
      <c r="B130" s="59" t="s">
        <v>608</v>
      </c>
      <c r="C130" s="41"/>
      <c r="D130" s="47" t="s">
        <v>609</v>
      </c>
      <c r="E130" s="54" t="s">
        <v>596</v>
      </c>
      <c r="F130" s="55" t="s">
        <v>574</v>
      </c>
      <c r="G130" s="55" t="s">
        <v>390</v>
      </c>
      <c r="H130" s="55" t="s">
        <v>610</v>
      </c>
      <c r="I130" s="55" t="s">
        <v>298</v>
      </c>
      <c r="J130" s="57"/>
      <c r="K130" s="45">
        <f>M130+O130+Q130+S130+U130+W130</f>
        <v>1681106.52</v>
      </c>
      <c r="L130" s="45">
        <f>N130+P130+R130+T130+V130+X130</f>
        <v>959876.04</v>
      </c>
      <c r="M130" s="45">
        <v>252165.98</v>
      </c>
      <c r="N130" s="45">
        <v>215860.06</v>
      </c>
      <c r="O130" s="45"/>
      <c r="P130" s="45"/>
      <c r="Q130" s="45"/>
      <c r="R130" s="45"/>
      <c r="S130" s="45"/>
      <c r="T130" s="45"/>
      <c r="U130" s="45">
        <v>1428940.54</v>
      </c>
      <c r="V130" s="45">
        <f>697790.03+46225.95</f>
        <v>744015.98</v>
      </c>
      <c r="W130" s="67"/>
      <c r="X130" s="118"/>
      <c r="Y130" s="154">
        <f>'5 lentelė'!R129</f>
        <v>2020</v>
      </c>
      <c r="Z130" s="155">
        <f>'5 lentelė'!S129</f>
        <v>0</v>
      </c>
      <c r="AA130" s="152">
        <f>IF(YEAR(Z130)=2018,AB130,0)</f>
        <v>0</v>
      </c>
      <c r="AB130" s="117">
        <v>1</v>
      </c>
      <c r="AC130" s="161">
        <v>8</v>
      </c>
      <c r="AD130" s="161" t="s">
        <v>68</v>
      </c>
      <c r="AE130" s="161"/>
      <c r="AF130" s="161"/>
      <c r="AG130" s="162"/>
      <c r="AH130" s="161"/>
      <c r="AI130" s="161"/>
      <c r="AJ130" s="161"/>
      <c r="AK130" s="161"/>
      <c r="AL130" s="161"/>
    </row>
    <row r="131" spans="2:38" ht="15" customHeight="1" x14ac:dyDescent="0.25">
      <c r="B131" s="69" t="s">
        <v>674</v>
      </c>
      <c r="C131" s="70"/>
      <c r="D131" s="407" t="s">
        <v>615</v>
      </c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8"/>
      <c r="R131" s="408"/>
      <c r="S131" s="408"/>
      <c r="T131" s="408"/>
      <c r="U131" s="408"/>
      <c r="V131" s="408"/>
      <c r="W131" s="408"/>
      <c r="X131" s="409"/>
      <c r="Y131" s="168"/>
      <c r="Z131" s="169"/>
      <c r="AA131" s="170"/>
      <c r="AB131" s="171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</row>
    <row r="132" spans="2:38" ht="15" customHeight="1" x14ac:dyDescent="0.25">
      <c r="B132" s="79" t="s">
        <v>616</v>
      </c>
      <c r="C132" s="68"/>
      <c r="D132" s="410" t="s">
        <v>617</v>
      </c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2"/>
      <c r="Y132" s="174"/>
      <c r="Z132" s="175"/>
      <c r="AA132" s="176"/>
      <c r="AB132" s="128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</row>
    <row r="133" spans="2:38" ht="24" x14ac:dyDescent="0.25">
      <c r="B133" s="59" t="s">
        <v>618</v>
      </c>
      <c r="C133" s="41"/>
      <c r="D133" s="47" t="s">
        <v>619</v>
      </c>
      <c r="E133" s="54" t="s">
        <v>620</v>
      </c>
      <c r="F133" s="55" t="s">
        <v>574</v>
      </c>
      <c r="G133" s="55" t="s">
        <v>433</v>
      </c>
      <c r="H133" s="55" t="s">
        <v>621</v>
      </c>
      <c r="I133" s="55" t="s">
        <v>298</v>
      </c>
      <c r="J133" s="57"/>
      <c r="K133" s="45">
        <f>M133+O133+Q133+S133+U133+W133</f>
        <v>2800256.02</v>
      </c>
      <c r="L133" s="45">
        <f>N133+P133+R133+T133+V133+X133</f>
        <v>193108.93</v>
      </c>
      <c r="M133" s="45"/>
      <c r="N133" s="16"/>
      <c r="O133" s="45"/>
      <c r="P133" s="45"/>
      <c r="Q133" s="45"/>
      <c r="R133" s="45"/>
      <c r="S133" s="45">
        <v>420038.40000000002</v>
      </c>
      <c r="T133" s="45">
        <v>23208.89</v>
      </c>
      <c r="U133" s="45">
        <v>2380217.62</v>
      </c>
      <c r="V133" s="45">
        <f>131514.04+38386</f>
        <v>169900.04</v>
      </c>
      <c r="W133" s="67"/>
      <c r="X133" s="118"/>
      <c r="Y133" s="154">
        <f>'5 lentelė'!R132</f>
        <v>2018</v>
      </c>
      <c r="Z133" s="155">
        <f>'5 lentelė'!S132</f>
        <v>0</v>
      </c>
      <c r="AA133" s="152">
        <f>IF(YEAR(Z133)=2018,AB133,0)</f>
        <v>0</v>
      </c>
      <c r="AB133" s="117">
        <v>1</v>
      </c>
      <c r="AC133" s="161">
        <v>5</v>
      </c>
      <c r="AD133" s="161" t="s">
        <v>65</v>
      </c>
      <c r="AF133" s="167"/>
      <c r="AG133" s="162"/>
      <c r="AH133" s="167"/>
      <c r="AI133" s="161"/>
      <c r="AJ133" s="161"/>
      <c r="AK133" s="161"/>
      <c r="AL133" s="161"/>
    </row>
    <row r="134" spans="2:38" ht="15" customHeight="1" x14ac:dyDescent="0.25">
      <c r="B134" s="69" t="s">
        <v>675</v>
      </c>
      <c r="C134" s="70"/>
      <c r="D134" s="407" t="s">
        <v>624</v>
      </c>
      <c r="E134" s="408"/>
      <c r="F134" s="408"/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  <c r="Q134" s="408"/>
      <c r="R134" s="408"/>
      <c r="S134" s="408"/>
      <c r="T134" s="408"/>
      <c r="U134" s="408"/>
      <c r="V134" s="408"/>
      <c r="W134" s="408"/>
      <c r="X134" s="409"/>
      <c r="Y134" s="168"/>
      <c r="Z134" s="169"/>
      <c r="AA134" s="170"/>
      <c r="AB134" s="171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</row>
    <row r="135" spans="2:38" ht="15" customHeight="1" x14ac:dyDescent="0.25">
      <c r="B135" s="69" t="s">
        <v>676</v>
      </c>
      <c r="C135" s="70"/>
      <c r="D135" s="407" t="s">
        <v>625</v>
      </c>
      <c r="E135" s="408"/>
      <c r="F135" s="408"/>
      <c r="G135" s="408"/>
      <c r="H135" s="408"/>
      <c r="I135" s="408"/>
      <c r="J135" s="408"/>
      <c r="K135" s="408"/>
      <c r="L135" s="408"/>
      <c r="M135" s="408"/>
      <c r="N135" s="408"/>
      <c r="O135" s="408"/>
      <c r="P135" s="408"/>
      <c r="Q135" s="408"/>
      <c r="R135" s="408"/>
      <c r="S135" s="408"/>
      <c r="T135" s="408"/>
      <c r="U135" s="408"/>
      <c r="V135" s="408"/>
      <c r="W135" s="408"/>
      <c r="X135" s="409"/>
      <c r="Y135" s="168"/>
      <c r="Z135" s="169"/>
      <c r="AA135" s="170"/>
      <c r="AB135" s="171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</row>
    <row r="136" spans="2:38" x14ac:dyDescent="0.25">
      <c r="B136" s="79" t="s">
        <v>626</v>
      </c>
      <c r="C136" s="68"/>
      <c r="D136" s="410" t="s">
        <v>627</v>
      </c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411"/>
      <c r="W136" s="411"/>
      <c r="X136" s="412"/>
      <c r="Y136" s="174"/>
      <c r="Z136" s="175"/>
      <c r="AA136" s="176"/>
      <c r="AB136" s="128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</row>
    <row r="137" spans="2:38" ht="24" x14ac:dyDescent="0.25">
      <c r="B137" s="58" t="s">
        <v>628</v>
      </c>
      <c r="C137" s="41"/>
      <c r="D137" s="47" t="s">
        <v>629</v>
      </c>
      <c r="E137" s="53" t="s">
        <v>308</v>
      </c>
      <c r="F137" s="53" t="s">
        <v>574</v>
      </c>
      <c r="G137" s="53" t="s">
        <v>545</v>
      </c>
      <c r="H137" s="53" t="s">
        <v>630</v>
      </c>
      <c r="I137" s="53" t="s">
        <v>298</v>
      </c>
      <c r="J137" s="53"/>
      <c r="K137" s="45">
        <f t="shared" ref="K137:K143" si="34">M137+O137+Q137+S137+U137+W137</f>
        <v>363047.26</v>
      </c>
      <c r="L137" s="45">
        <f t="shared" ref="L137:L143" si="35">N137+P137+R137+T137+V137+X137</f>
        <v>127053.49</v>
      </c>
      <c r="M137" s="49">
        <v>54457.09</v>
      </c>
      <c r="N137" s="49">
        <v>1696.07</v>
      </c>
      <c r="O137" s="49"/>
      <c r="P137" s="49"/>
      <c r="Q137" s="49"/>
      <c r="R137" s="49"/>
      <c r="S137" s="49"/>
      <c r="T137" s="49"/>
      <c r="U137" s="49">
        <v>308590.17</v>
      </c>
      <c r="V137" s="49">
        <f>102188.09+23169.33</f>
        <v>125357.42</v>
      </c>
      <c r="W137" s="67"/>
      <c r="X137" s="118"/>
      <c r="Y137" s="154">
        <f>'5 lentelė'!R136</f>
        <v>2018</v>
      </c>
      <c r="Z137" s="155">
        <f>'5 lentelė'!S136</f>
        <v>0</v>
      </c>
      <c r="AA137" s="152">
        <f>IF(YEAR(Z137)=20178,AB137,0)</f>
        <v>0</v>
      </c>
      <c r="AB137" s="117">
        <v>1</v>
      </c>
      <c r="AC137" s="159">
        <v>38</v>
      </c>
      <c r="AD137" s="159" t="s">
        <v>97</v>
      </c>
      <c r="AE137" s="159"/>
      <c r="AF137" s="159"/>
      <c r="AG137" s="163"/>
      <c r="AH137" s="159"/>
      <c r="AI137" s="159"/>
      <c r="AJ137" s="159"/>
      <c r="AK137" s="159"/>
      <c r="AL137" s="159"/>
    </row>
    <row r="138" spans="2:38" ht="24" x14ac:dyDescent="0.25">
      <c r="B138" s="58" t="s">
        <v>639</v>
      </c>
      <c r="C138" s="41"/>
      <c r="D138" s="47" t="s">
        <v>640</v>
      </c>
      <c r="E138" s="53" t="s">
        <v>328</v>
      </c>
      <c r="F138" s="53" t="s">
        <v>574</v>
      </c>
      <c r="G138" s="53" t="s">
        <v>426</v>
      </c>
      <c r="H138" s="53" t="s">
        <v>630</v>
      </c>
      <c r="I138" s="53" t="s">
        <v>298</v>
      </c>
      <c r="J138" s="53"/>
      <c r="K138" s="45">
        <f t="shared" si="34"/>
        <v>53554.71</v>
      </c>
      <c r="L138" s="45">
        <f t="shared" si="35"/>
        <v>51582.96</v>
      </c>
      <c r="M138" s="49">
        <v>8033.21</v>
      </c>
      <c r="N138" s="49">
        <v>7737.45</v>
      </c>
      <c r="O138" s="49"/>
      <c r="P138" s="49"/>
      <c r="Q138" s="49"/>
      <c r="R138" s="49"/>
      <c r="S138" s="49"/>
      <c r="T138" s="49"/>
      <c r="U138" s="49">
        <v>45521.5</v>
      </c>
      <c r="V138" s="49">
        <v>43845.51</v>
      </c>
      <c r="W138" s="67"/>
      <c r="X138" s="118"/>
      <c r="Y138" s="154">
        <f>'5 lentelė'!R137</f>
        <v>43281</v>
      </c>
      <c r="Z138" s="305">
        <f>'5 lentelė'!S137</f>
        <v>43272</v>
      </c>
      <c r="AA138" s="152">
        <f>IF(YEAR(Z138)=2018,AB138,0)</f>
        <v>1</v>
      </c>
      <c r="AB138" s="117">
        <v>1</v>
      </c>
      <c r="AC138" s="159">
        <v>38</v>
      </c>
      <c r="AD138" s="159" t="s">
        <v>97</v>
      </c>
      <c r="AE138" s="159"/>
      <c r="AF138" s="159"/>
      <c r="AG138" s="163"/>
      <c r="AH138" s="159"/>
      <c r="AI138" s="159"/>
      <c r="AJ138" s="159"/>
      <c r="AK138" s="159"/>
      <c r="AL138" s="159"/>
    </row>
    <row r="139" spans="2:38" ht="24" x14ac:dyDescent="0.25">
      <c r="B139" s="58" t="s">
        <v>641</v>
      </c>
      <c r="C139" s="41"/>
      <c r="D139" s="47" t="s">
        <v>642</v>
      </c>
      <c r="E139" s="53" t="s">
        <v>328</v>
      </c>
      <c r="F139" s="53" t="s">
        <v>574</v>
      </c>
      <c r="G139" s="53" t="s">
        <v>426</v>
      </c>
      <c r="H139" s="53" t="s">
        <v>630</v>
      </c>
      <c r="I139" s="53" t="s">
        <v>298</v>
      </c>
      <c r="J139" s="53"/>
      <c r="K139" s="45">
        <f t="shared" si="34"/>
        <v>920732.19</v>
      </c>
      <c r="L139" s="45">
        <f t="shared" si="35"/>
        <v>0</v>
      </c>
      <c r="M139" s="49">
        <v>138109.82</v>
      </c>
      <c r="N139" s="49"/>
      <c r="O139" s="49"/>
      <c r="P139" s="49"/>
      <c r="Q139" s="49"/>
      <c r="R139" s="49"/>
      <c r="S139" s="49"/>
      <c r="T139" s="49"/>
      <c r="U139" s="49">
        <v>782622.37</v>
      </c>
      <c r="V139" s="49"/>
      <c r="W139" s="67"/>
      <c r="X139" s="67"/>
      <c r="Y139" s="154">
        <f>'5 lentelė'!R138</f>
        <v>2021</v>
      </c>
      <c r="Z139" s="155">
        <f>'5 lentelė'!S138</f>
        <v>0</v>
      </c>
      <c r="AA139" s="152">
        <f t="shared" ref="AA139:AA143" si="36">IF(YEAR(Z139)=20178,AB139,0)</f>
        <v>0</v>
      </c>
      <c r="AB139" s="117">
        <v>1</v>
      </c>
      <c r="AC139" s="159">
        <v>38</v>
      </c>
      <c r="AD139" s="159" t="s">
        <v>97</v>
      </c>
      <c r="AE139" s="159"/>
      <c r="AF139" s="159"/>
      <c r="AG139" s="163"/>
      <c r="AH139" s="159"/>
      <c r="AI139" s="159"/>
      <c r="AJ139" s="159"/>
      <c r="AK139" s="159"/>
      <c r="AL139" s="159"/>
    </row>
    <row r="140" spans="2:38" ht="24" x14ac:dyDescent="0.25">
      <c r="B140" s="58" t="s">
        <v>645</v>
      </c>
      <c r="C140" s="41"/>
      <c r="D140" s="47" t="s">
        <v>646</v>
      </c>
      <c r="E140" s="53" t="s">
        <v>328</v>
      </c>
      <c r="F140" s="53" t="s">
        <v>574</v>
      </c>
      <c r="G140" s="53" t="s">
        <v>426</v>
      </c>
      <c r="H140" s="53" t="s">
        <v>630</v>
      </c>
      <c r="I140" s="53" t="s">
        <v>298</v>
      </c>
      <c r="J140" s="53" t="s">
        <v>647</v>
      </c>
      <c r="K140" s="45">
        <f t="shared" si="34"/>
        <v>296511.84999999998</v>
      </c>
      <c r="L140" s="45">
        <f t="shared" si="35"/>
        <v>0</v>
      </c>
      <c r="M140" s="49">
        <v>44476.78</v>
      </c>
      <c r="N140" s="49"/>
      <c r="O140" s="49"/>
      <c r="P140" s="49"/>
      <c r="Q140" s="49"/>
      <c r="R140" s="49"/>
      <c r="S140" s="49"/>
      <c r="T140" s="49"/>
      <c r="U140" s="49">
        <v>252035.07</v>
      </c>
      <c r="V140" s="49"/>
      <c r="W140" s="67"/>
      <c r="X140" s="67"/>
      <c r="Y140" s="154">
        <f>'5 lentelė'!R139</f>
        <v>0</v>
      </c>
      <c r="Z140" s="155">
        <f>'5 lentelė'!S139</f>
        <v>0</v>
      </c>
      <c r="AA140" s="152">
        <f t="shared" si="36"/>
        <v>0</v>
      </c>
      <c r="AB140" s="117">
        <v>1</v>
      </c>
      <c r="AC140" s="159"/>
      <c r="AD140" s="159"/>
      <c r="AE140" s="159"/>
      <c r="AF140" s="159"/>
      <c r="AG140" s="163"/>
      <c r="AH140" s="159"/>
      <c r="AI140" s="159"/>
      <c r="AJ140" s="159"/>
      <c r="AK140" s="159"/>
      <c r="AL140" s="159"/>
    </row>
    <row r="141" spans="2:38" ht="24" x14ac:dyDescent="0.25">
      <c r="B141" s="58" t="s">
        <v>648</v>
      </c>
      <c r="C141" s="41"/>
      <c r="D141" s="47" t="s">
        <v>649</v>
      </c>
      <c r="E141" s="53" t="s">
        <v>304</v>
      </c>
      <c r="F141" s="53" t="s">
        <v>574</v>
      </c>
      <c r="G141" s="53" t="s">
        <v>390</v>
      </c>
      <c r="H141" s="53" t="s">
        <v>630</v>
      </c>
      <c r="I141" s="53" t="s">
        <v>298</v>
      </c>
      <c r="J141" s="53"/>
      <c r="K141" s="45">
        <f t="shared" si="34"/>
        <v>351002.55</v>
      </c>
      <c r="L141" s="45">
        <f t="shared" si="35"/>
        <v>148182.96999999997</v>
      </c>
      <c r="M141" s="49">
        <v>52650.39</v>
      </c>
      <c r="N141" s="49">
        <v>4347.83</v>
      </c>
      <c r="O141" s="49"/>
      <c r="P141" s="49"/>
      <c r="Q141" s="49"/>
      <c r="R141" s="49"/>
      <c r="S141" s="49"/>
      <c r="T141" s="49"/>
      <c r="U141" s="49">
        <v>298352.15999999997</v>
      </c>
      <c r="V141" s="49">
        <f>98195.51+45639.63</f>
        <v>143835.13999999998</v>
      </c>
      <c r="W141" s="67"/>
      <c r="X141" s="118"/>
      <c r="Y141" s="154">
        <f>'5 lentelė'!R140</f>
        <v>2019</v>
      </c>
      <c r="Z141" s="155">
        <f>'5 lentelė'!S140</f>
        <v>0</v>
      </c>
      <c r="AA141" s="152">
        <f t="shared" si="36"/>
        <v>0</v>
      </c>
      <c r="AB141" s="117">
        <v>1</v>
      </c>
      <c r="AC141" s="159">
        <v>38</v>
      </c>
      <c r="AD141" s="159" t="s">
        <v>97</v>
      </c>
      <c r="AE141" s="159"/>
      <c r="AF141" s="159"/>
      <c r="AG141" s="163"/>
      <c r="AH141" s="159"/>
      <c r="AI141" s="159"/>
      <c r="AJ141" s="159"/>
      <c r="AK141" s="159"/>
      <c r="AL141" s="159"/>
    </row>
    <row r="142" spans="2:38" x14ac:dyDescent="0.25">
      <c r="B142" s="58" t="s">
        <v>651</v>
      </c>
      <c r="C142" s="41"/>
      <c r="D142" s="47" t="s">
        <v>652</v>
      </c>
      <c r="E142" s="53" t="s">
        <v>294</v>
      </c>
      <c r="F142" s="53" t="s">
        <v>574</v>
      </c>
      <c r="G142" s="53" t="s">
        <v>575</v>
      </c>
      <c r="H142" s="53" t="s">
        <v>630</v>
      </c>
      <c r="I142" s="53" t="s">
        <v>298</v>
      </c>
      <c r="J142" s="53"/>
      <c r="K142" s="45">
        <f t="shared" si="34"/>
        <v>419348</v>
      </c>
      <c r="L142" s="45">
        <f t="shared" si="35"/>
        <v>344218.33</v>
      </c>
      <c r="M142" s="49">
        <v>62902.2</v>
      </c>
      <c r="N142" s="49">
        <v>31592.91</v>
      </c>
      <c r="O142" s="49"/>
      <c r="P142" s="49"/>
      <c r="Q142" s="49"/>
      <c r="R142" s="49"/>
      <c r="S142" s="49"/>
      <c r="T142" s="49"/>
      <c r="U142" s="49">
        <v>356445.8</v>
      </c>
      <c r="V142" s="49">
        <f>193026.49+114727.66+4871.27</f>
        <v>312625.42000000004</v>
      </c>
      <c r="W142" s="67"/>
      <c r="X142" s="118"/>
      <c r="Y142" s="154">
        <f>'5 lentelė'!R141</f>
        <v>2019</v>
      </c>
      <c r="Z142" s="155">
        <f>'5 lentelė'!S141</f>
        <v>0</v>
      </c>
      <c r="AA142" s="152">
        <f t="shared" si="36"/>
        <v>0</v>
      </c>
      <c r="AB142" s="117">
        <v>1</v>
      </c>
      <c r="AC142" s="159">
        <v>38</v>
      </c>
      <c r="AD142" s="159" t="s">
        <v>97</v>
      </c>
      <c r="AE142" s="159"/>
      <c r="AF142" s="159"/>
      <c r="AG142" s="163"/>
      <c r="AH142" s="159"/>
      <c r="AI142" s="159"/>
      <c r="AJ142" s="159"/>
      <c r="AK142" s="159"/>
      <c r="AL142" s="159"/>
    </row>
    <row r="143" spans="2:38" ht="48" x14ac:dyDescent="0.25">
      <c r="B143" s="58" t="s">
        <v>653</v>
      </c>
      <c r="C143" s="41"/>
      <c r="D143" s="43" t="s">
        <v>654</v>
      </c>
      <c r="E143" s="54" t="s">
        <v>294</v>
      </c>
      <c r="F143" s="55" t="s">
        <v>574</v>
      </c>
      <c r="G143" s="55" t="s">
        <v>575</v>
      </c>
      <c r="H143" s="53" t="s">
        <v>630</v>
      </c>
      <c r="I143" s="55" t="s">
        <v>298</v>
      </c>
      <c r="J143" s="55"/>
      <c r="K143" s="45">
        <f t="shared" si="34"/>
        <v>129411.77</v>
      </c>
      <c r="L143" s="45">
        <f t="shared" si="35"/>
        <v>0</v>
      </c>
      <c r="M143" s="45">
        <v>19411.77</v>
      </c>
      <c r="N143" s="45"/>
      <c r="O143" s="45"/>
      <c r="P143" s="45"/>
      <c r="Q143" s="45"/>
      <c r="R143" s="45"/>
      <c r="S143" s="45"/>
      <c r="T143" s="45"/>
      <c r="U143" s="49">
        <v>110000</v>
      </c>
      <c r="V143" s="49"/>
      <c r="W143" s="67"/>
      <c r="X143" s="67"/>
      <c r="Y143" s="154">
        <f>'5 lentelė'!R142</f>
        <v>2021</v>
      </c>
      <c r="Z143" s="155">
        <f>'5 lentelė'!S142</f>
        <v>0</v>
      </c>
      <c r="AA143" s="152">
        <f t="shared" si="36"/>
        <v>0</v>
      </c>
      <c r="AB143" s="117">
        <v>1</v>
      </c>
      <c r="AC143" s="161">
        <v>38</v>
      </c>
      <c r="AD143" s="161" t="s">
        <v>97</v>
      </c>
      <c r="AE143" s="161"/>
      <c r="AF143" s="161"/>
      <c r="AG143" s="162"/>
      <c r="AH143" s="161"/>
      <c r="AI143" s="161"/>
      <c r="AJ143" s="161"/>
      <c r="AK143" s="161"/>
      <c r="AL143" s="161"/>
    </row>
    <row r="144" spans="2:38" x14ac:dyDescent="0.25">
      <c r="B144" s="400" t="s">
        <v>23</v>
      </c>
      <c r="C144" s="400"/>
      <c r="D144" s="400"/>
      <c r="E144" s="400"/>
      <c r="F144" s="400"/>
      <c r="G144" s="400"/>
      <c r="H144" s="400"/>
      <c r="I144" s="400"/>
      <c r="J144" s="400"/>
      <c r="K144" s="72">
        <f>SUM(K13:K143)-K140</f>
        <v>41999733.474117652</v>
      </c>
      <c r="L144" s="72">
        <f>SUM(L13:L143)-L140</f>
        <v>14344277.510000004</v>
      </c>
      <c r="M144" s="72">
        <f t="shared" ref="M144:V144" si="37">SUM(M13:M143)-M140</f>
        <v>7601671.2264705896</v>
      </c>
      <c r="N144" s="72">
        <f t="shared" si="37"/>
        <v>3473264.4300000006</v>
      </c>
      <c r="O144" s="72">
        <f t="shared" si="37"/>
        <v>602344.81764705898</v>
      </c>
      <c r="P144" s="72">
        <f t="shared" si="37"/>
        <v>1119032.1100000001</v>
      </c>
      <c r="Q144" s="72">
        <f t="shared" si="37"/>
        <v>780124.34999999986</v>
      </c>
      <c r="R144" s="72">
        <f t="shared" si="37"/>
        <v>334802.96999999997</v>
      </c>
      <c r="S144" s="72">
        <f t="shared" si="37"/>
        <v>840163.01</v>
      </c>
      <c r="T144" s="72">
        <f t="shared" si="37"/>
        <v>160890.12</v>
      </c>
      <c r="U144" s="72">
        <f t="shared" si="37"/>
        <v>28854068.070000004</v>
      </c>
      <c r="V144" s="72">
        <f t="shared" si="37"/>
        <v>9256287.879999999</v>
      </c>
      <c r="W144" s="67"/>
      <c r="X144" s="67"/>
      <c r="Y144" s="67"/>
      <c r="Z144" s="41"/>
      <c r="AA144" s="153"/>
    </row>
    <row r="145" spans="2:27" ht="15.75" x14ac:dyDescent="0.25">
      <c r="B145" s="88" t="s">
        <v>41</v>
      </c>
    </row>
    <row r="146" spans="2:27" ht="15.75" x14ac:dyDescent="0.25">
      <c r="B146" s="88"/>
    </row>
    <row r="147" spans="2:27" ht="15.75" x14ac:dyDescent="0.25">
      <c r="B147" s="88"/>
      <c r="Y147" s="22"/>
      <c r="Z147" s="22"/>
      <c r="AA147" s="22"/>
    </row>
    <row r="148" spans="2:27" ht="15.75" customHeight="1" x14ac:dyDescent="0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</sheetData>
  <autoFilter ref="AC1:AC148"/>
  <mergeCells count="72">
    <mergeCell ref="D134:X134"/>
    <mergeCell ref="D135:X135"/>
    <mergeCell ref="D136:X136"/>
    <mergeCell ref="B144:J144"/>
    <mergeCell ref="D118:X118"/>
    <mergeCell ref="D119:X119"/>
    <mergeCell ref="D120:X120"/>
    <mergeCell ref="D129:X129"/>
    <mergeCell ref="D131:X131"/>
    <mergeCell ref="D132:X132"/>
    <mergeCell ref="D117:X117"/>
    <mergeCell ref="D68:X68"/>
    <mergeCell ref="D72:X72"/>
    <mergeCell ref="D73:X73"/>
    <mergeCell ref="D78:X78"/>
    <mergeCell ref="D83:X83"/>
    <mergeCell ref="D101:X101"/>
    <mergeCell ref="D102:X102"/>
    <mergeCell ref="D107:X107"/>
    <mergeCell ref="D112:X112"/>
    <mergeCell ref="D113:X113"/>
    <mergeCell ref="D114:X114"/>
    <mergeCell ref="D63:X63"/>
    <mergeCell ref="D36:X36"/>
    <mergeCell ref="D41:X41"/>
    <mergeCell ref="D43:X43"/>
    <mergeCell ref="D44:X44"/>
    <mergeCell ref="D47:X47"/>
    <mergeCell ref="D52:X52"/>
    <mergeCell ref="D53:X53"/>
    <mergeCell ref="D55:X55"/>
    <mergeCell ref="D56:X56"/>
    <mergeCell ref="D57:X57"/>
    <mergeCell ref="D58:X58"/>
    <mergeCell ref="D33:X33"/>
    <mergeCell ref="D10:X10"/>
    <mergeCell ref="D11:X11"/>
    <mergeCell ref="D12:X12"/>
    <mergeCell ref="D15:X15"/>
    <mergeCell ref="D18:X18"/>
    <mergeCell ref="D20:X20"/>
    <mergeCell ref="D23:J23"/>
    <mergeCell ref="D22:X22"/>
    <mergeCell ref="D25:X25"/>
    <mergeCell ref="D26:X26"/>
    <mergeCell ref="D27:X27"/>
    <mergeCell ref="D9:X9"/>
    <mergeCell ref="G7:G8"/>
    <mergeCell ref="H7:H8"/>
    <mergeCell ref="I7:I8"/>
    <mergeCell ref="J7:J8"/>
    <mergeCell ref="K7:L7"/>
    <mergeCell ref="M7:N7"/>
    <mergeCell ref="O7:P7"/>
    <mergeCell ref="Q7:R7"/>
    <mergeCell ref="S7:T7"/>
    <mergeCell ref="U7:V7"/>
    <mergeCell ref="W7:X7"/>
    <mergeCell ref="Y1:Z1"/>
    <mergeCell ref="Y2:Z2"/>
    <mergeCell ref="Y3:Z3"/>
    <mergeCell ref="Y7:Z7"/>
    <mergeCell ref="B7:B8"/>
    <mergeCell ref="C7:C8"/>
    <mergeCell ref="D7:D8"/>
    <mergeCell ref="E7:E8"/>
    <mergeCell ref="F7:F8"/>
    <mergeCell ref="V1:X1"/>
    <mergeCell ref="V2:X2"/>
    <mergeCell ref="V3:X3"/>
    <mergeCell ref="B6:J6"/>
    <mergeCell ref="K6:X6"/>
  </mergeCells>
  <pageMargins left="0.11811023622047245" right="0.11811023622047245" top="0.15748031496062992" bottom="0.15748031496062992" header="0" footer="0"/>
  <pageSetup paperSize="9"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E5" sqref="E5"/>
    </sheetView>
  </sheetViews>
  <sheetFormatPr defaultRowHeight="15" x14ac:dyDescent="0.25"/>
  <cols>
    <col min="1" max="1" width="3.85546875" style="6" customWidth="1"/>
    <col min="2" max="2" width="22.7109375" customWidth="1"/>
    <col min="3" max="3" width="35.28515625" customWidth="1"/>
    <col min="4" max="4" width="9.85546875" customWidth="1"/>
    <col min="5" max="5" width="11.140625" customWidth="1"/>
    <col min="6" max="6" width="10.28515625" customWidth="1"/>
    <col min="7" max="7" width="10.5703125" customWidth="1"/>
    <col min="8" max="8" width="11.7109375" customWidth="1"/>
    <col min="9" max="9" width="11.140625" customWidth="1"/>
    <col min="10" max="10" width="12.7109375" customWidth="1"/>
  </cols>
  <sheetData>
    <row r="1" spans="2:11" ht="15.75" x14ac:dyDescent="0.25">
      <c r="H1" s="312" t="s">
        <v>120</v>
      </c>
      <c r="I1" s="312"/>
      <c r="J1" s="312"/>
      <c r="K1" s="312"/>
    </row>
    <row r="2" spans="2:11" ht="15.75" x14ac:dyDescent="0.25">
      <c r="H2" s="312" t="s">
        <v>0</v>
      </c>
      <c r="I2" s="312"/>
      <c r="J2" s="312"/>
      <c r="K2" s="312"/>
    </row>
    <row r="3" spans="2:11" ht="15.75" x14ac:dyDescent="0.25">
      <c r="H3" s="312" t="s">
        <v>12</v>
      </c>
      <c r="I3" s="312"/>
      <c r="J3" s="312"/>
      <c r="K3" s="312"/>
    </row>
    <row r="6" spans="2:11" ht="36" customHeight="1" x14ac:dyDescent="0.25">
      <c r="B6" s="422" t="s">
        <v>55</v>
      </c>
      <c r="C6" s="422"/>
      <c r="D6" s="422"/>
      <c r="E6" s="422"/>
      <c r="F6" s="422"/>
      <c r="G6" s="422"/>
      <c r="H6" s="422"/>
      <c r="I6" s="422"/>
      <c r="J6" s="422"/>
    </row>
    <row r="7" spans="2:11" x14ac:dyDescent="0.25">
      <c r="B7" s="403" t="s">
        <v>56</v>
      </c>
      <c r="C7" s="403" t="s">
        <v>57</v>
      </c>
      <c r="D7" s="423" t="s">
        <v>678</v>
      </c>
      <c r="E7" s="423"/>
      <c r="F7" s="423"/>
      <c r="G7" s="423"/>
      <c r="H7" s="423"/>
      <c r="I7" s="423"/>
      <c r="J7" s="423"/>
    </row>
    <row r="8" spans="2:11" ht="50.25" customHeight="1" x14ac:dyDescent="0.25">
      <c r="B8" s="404"/>
      <c r="C8" s="404"/>
      <c r="D8" s="17">
        <v>2014</v>
      </c>
      <c r="E8" s="17">
        <v>2015</v>
      </c>
      <c r="F8" s="17">
        <v>2016</v>
      </c>
      <c r="G8" s="17">
        <v>2017</v>
      </c>
      <c r="H8" s="17">
        <v>2018</v>
      </c>
      <c r="I8" s="17">
        <v>2019</v>
      </c>
      <c r="J8" s="17">
        <v>2020</v>
      </c>
    </row>
    <row r="9" spans="2:11" ht="15.75" x14ac:dyDescent="0.25">
      <c r="B9" s="122" t="s">
        <v>297</v>
      </c>
      <c r="C9" s="124" t="s">
        <v>679</v>
      </c>
      <c r="D9" s="126" t="s">
        <v>34</v>
      </c>
      <c r="E9" s="126" t="s">
        <v>34</v>
      </c>
      <c r="F9" s="147">
        <f>SUM('4 lentelė'!U12:U13)/1000</f>
        <v>0</v>
      </c>
      <c r="G9" s="147">
        <f>SUM('4 lentelė'!V12:V13)/1000</f>
        <v>739.97</v>
      </c>
      <c r="H9" s="147">
        <f>SUM('4 lentelė'!W12:W13)/1000+G9</f>
        <v>1586.971</v>
      </c>
      <c r="I9" s="117"/>
      <c r="J9" s="117"/>
    </row>
    <row r="10" spans="2:11" x14ac:dyDescent="0.25">
      <c r="B10" s="41" t="s">
        <v>310</v>
      </c>
      <c r="C10" s="124" t="s">
        <v>680</v>
      </c>
      <c r="D10" s="41" t="s">
        <v>34</v>
      </c>
      <c r="E10" s="41" t="s">
        <v>34</v>
      </c>
      <c r="F10" s="148">
        <f>SUM('4 lentelė'!U15:U16)/1000</f>
        <v>0</v>
      </c>
      <c r="G10" s="148">
        <f>SUM('4 lentelė'!V15:V16)/1000</f>
        <v>779.91899999999998</v>
      </c>
      <c r="H10" s="148">
        <f>SUM('4 lentelė'!W15:W16)/1000+G10</f>
        <v>779.91899999999998</v>
      </c>
      <c r="I10" s="123"/>
      <c r="J10" s="123"/>
    </row>
    <row r="11" spans="2:11" x14ac:dyDescent="0.25">
      <c r="B11" s="41" t="s">
        <v>321</v>
      </c>
      <c r="C11" s="124" t="s">
        <v>681</v>
      </c>
      <c r="D11" s="41" t="s">
        <v>34</v>
      </c>
      <c r="E11" s="41" t="s">
        <v>34</v>
      </c>
      <c r="F11" s="148">
        <f>SUM('4 lentelė'!U18)/1000</f>
        <v>868.9</v>
      </c>
      <c r="G11" s="148">
        <f>SUM('4 lentelė'!V18)/1000+F11</f>
        <v>868.9</v>
      </c>
      <c r="H11" s="148">
        <f>SUM('4 lentelė'!W18)/1000+G11</f>
        <v>868.9</v>
      </c>
      <c r="I11" s="123"/>
      <c r="J11" s="123"/>
    </row>
    <row r="12" spans="2:11" ht="24" x14ac:dyDescent="0.25">
      <c r="B12" s="41" t="s">
        <v>330</v>
      </c>
      <c r="C12" s="124" t="s">
        <v>697</v>
      </c>
      <c r="D12" s="41" t="s">
        <v>34</v>
      </c>
      <c r="E12" s="41" t="s">
        <v>34</v>
      </c>
      <c r="F12" s="149">
        <f>SUM('4 lentelė'!U20)/1000</f>
        <v>0</v>
      </c>
      <c r="G12" s="149">
        <f>SUM('4 lentelė'!V20)/1000</f>
        <v>392.50700000000001</v>
      </c>
      <c r="H12" s="149">
        <f>SUM('4 lentelė'!W20)/1000+G12</f>
        <v>392.50700000000001</v>
      </c>
      <c r="I12" s="123"/>
      <c r="J12" s="123"/>
    </row>
    <row r="13" spans="2:11" x14ac:dyDescent="0.25">
      <c r="B13" s="41" t="s">
        <v>343</v>
      </c>
      <c r="C13" s="124" t="s">
        <v>690</v>
      </c>
      <c r="D13" s="41" t="s">
        <v>34</v>
      </c>
      <c r="E13" s="41" t="s">
        <v>34</v>
      </c>
      <c r="F13" s="149">
        <f>SUM('4 lentelė'!U27:U31)/1000</f>
        <v>0</v>
      </c>
      <c r="G13" s="149">
        <f>SUM('4 lentelė'!V27:V31)/1000</f>
        <v>2465.2249999999999</v>
      </c>
      <c r="H13" s="149">
        <f>SUM('4 lentelė'!W27:W31)/1000+G13</f>
        <v>2733.8420000000001</v>
      </c>
      <c r="I13" s="123"/>
      <c r="J13" s="123"/>
    </row>
    <row r="14" spans="2:11" ht="15.75" x14ac:dyDescent="0.25">
      <c r="B14" s="41" t="s">
        <v>365</v>
      </c>
      <c r="C14" s="124" t="s">
        <v>687</v>
      </c>
      <c r="D14" s="126" t="s">
        <v>34</v>
      </c>
      <c r="E14" s="126" t="s">
        <v>34</v>
      </c>
      <c r="F14" s="149">
        <f>SUM('4 lentelė'!U33)/1000</f>
        <v>0</v>
      </c>
      <c r="G14" s="149">
        <f>SUM('4 lentelė'!V33)/1000</f>
        <v>0</v>
      </c>
      <c r="H14" s="149">
        <f>SUM('4 lentelė'!W33)/1000</f>
        <v>0</v>
      </c>
      <c r="I14" s="123"/>
      <c r="J14" s="123"/>
    </row>
    <row r="15" spans="2:11" x14ac:dyDescent="0.25">
      <c r="B15" s="41" t="s">
        <v>371</v>
      </c>
      <c r="C15" s="124" t="s">
        <v>688</v>
      </c>
      <c r="D15" s="41" t="s">
        <v>34</v>
      </c>
      <c r="E15" s="41" t="s">
        <v>34</v>
      </c>
      <c r="F15" s="149">
        <f>SUM('4 lentelė'!U34)/1000</f>
        <v>0</v>
      </c>
      <c r="G15" s="149">
        <f>SUM('4 lentelė'!V34)/1000</f>
        <v>10.115</v>
      </c>
      <c r="H15" s="149">
        <f>SUM('4 lentelė'!W34)/1000+G15</f>
        <v>10.115</v>
      </c>
      <c r="I15" s="123"/>
      <c r="J15" s="123"/>
    </row>
    <row r="16" spans="2:11" x14ac:dyDescent="0.25">
      <c r="B16" s="41" t="s">
        <v>379</v>
      </c>
      <c r="C16" s="124" t="s">
        <v>689</v>
      </c>
      <c r="D16" s="41" t="s">
        <v>34</v>
      </c>
      <c r="E16" s="41" t="s">
        <v>34</v>
      </c>
      <c r="F16" s="149">
        <f>SUM('4 lentelė'!U36:U39)/1000</f>
        <v>0</v>
      </c>
      <c r="G16" s="149">
        <f>SUM('4 lentelė'!V36:V39)/1000</f>
        <v>111.26900000000001</v>
      </c>
      <c r="H16" s="149">
        <f>SUM('4 lentelė'!W36:W39)/1000+G16</f>
        <v>209.87799999999999</v>
      </c>
      <c r="I16" s="123"/>
      <c r="J16" s="123"/>
    </row>
    <row r="17" spans="2:10" ht="24" x14ac:dyDescent="0.25">
      <c r="B17" s="41" t="s">
        <v>395</v>
      </c>
      <c r="C17" s="124" t="s">
        <v>686</v>
      </c>
      <c r="D17" s="41" t="s">
        <v>34</v>
      </c>
      <c r="E17" s="41" t="s">
        <v>34</v>
      </c>
      <c r="F17" s="149">
        <f>SUM('4 lentelė'!U41)/1000</f>
        <v>0</v>
      </c>
      <c r="G17" s="149">
        <f>SUM('4 lentelė'!V41)/1000</f>
        <v>0</v>
      </c>
      <c r="H17" s="149">
        <f>SUM('4 lentelė'!W41)/1000</f>
        <v>679.11900000000003</v>
      </c>
      <c r="I17" s="123"/>
      <c r="J17" s="123"/>
    </row>
    <row r="18" spans="2:10" ht="24" x14ac:dyDescent="0.25">
      <c r="B18" s="41" t="s">
        <v>404</v>
      </c>
      <c r="C18" s="124" t="s">
        <v>684</v>
      </c>
      <c r="D18" s="41" t="s">
        <v>34</v>
      </c>
      <c r="E18" s="41" t="s">
        <v>34</v>
      </c>
      <c r="F18" s="149">
        <f>SUM('4 lentelė'!U44:U45)/1000</f>
        <v>0</v>
      </c>
      <c r="G18" s="149">
        <f>SUM('4 lentelė'!V44:V45)/1000</f>
        <v>691.89839000000006</v>
      </c>
      <c r="H18" s="149">
        <f>SUM('4 lentelė'!W44:W45)/1000+G18</f>
        <v>691.89839000000006</v>
      </c>
      <c r="I18" s="123"/>
      <c r="J18" s="123"/>
    </row>
    <row r="19" spans="2:10" ht="24" x14ac:dyDescent="0.25">
      <c r="B19" s="41" t="s">
        <v>413</v>
      </c>
      <c r="C19" s="124" t="s">
        <v>685</v>
      </c>
      <c r="D19" s="126" t="s">
        <v>34</v>
      </c>
      <c r="E19" s="126" t="s">
        <v>34</v>
      </c>
      <c r="F19" s="149">
        <f>SUM('4 lentelė'!U47:U50)/1000</f>
        <v>0</v>
      </c>
      <c r="G19" s="149">
        <f>SUM('4 lentelė'!V47:V50)/1000</f>
        <v>744.68706000000009</v>
      </c>
      <c r="H19" s="149">
        <f>SUM('4 lentelė'!W47:W50)/1000+G19</f>
        <v>1030.2811100000001</v>
      </c>
      <c r="I19" s="123"/>
      <c r="J19" s="123"/>
    </row>
    <row r="20" spans="2:10" ht="24" x14ac:dyDescent="0.25">
      <c r="B20" s="41" t="s">
        <v>434</v>
      </c>
      <c r="C20" s="124" t="s">
        <v>698</v>
      </c>
      <c r="D20" s="41" t="s">
        <v>34</v>
      </c>
      <c r="E20" s="41" t="s">
        <v>34</v>
      </c>
      <c r="F20" s="149">
        <f>SUM('4 lentelė'!U53)/1000</f>
        <v>0</v>
      </c>
      <c r="G20" s="149">
        <f>SUM('4 lentelė'!V53)/1000</f>
        <v>396.88668999999999</v>
      </c>
      <c r="H20" s="149">
        <f>SUM('4 lentelė'!W53)/1000+G20</f>
        <v>396.88668999999999</v>
      </c>
      <c r="I20" s="123"/>
      <c r="J20" s="123"/>
    </row>
    <row r="21" spans="2:10" x14ac:dyDescent="0.25">
      <c r="B21" s="41" t="s">
        <v>445</v>
      </c>
      <c r="C21" s="124" t="s">
        <v>691</v>
      </c>
      <c r="D21" s="41" t="s">
        <v>34</v>
      </c>
      <c r="E21" s="41" t="s">
        <v>34</v>
      </c>
      <c r="F21" s="149">
        <f>SUM('4 lentelė'!U58:U61)/1000</f>
        <v>0</v>
      </c>
      <c r="G21" s="149">
        <f>SUM('4 lentelė'!V58:V61)/1000</f>
        <v>0</v>
      </c>
      <c r="H21" s="149">
        <f>SUM('4 lentelė'!W58:W61)/1000</f>
        <v>1208.3720000000001</v>
      </c>
      <c r="I21" s="123"/>
      <c r="J21" s="123"/>
    </row>
    <row r="22" spans="2:10" ht="24" x14ac:dyDescent="0.25">
      <c r="B22" s="41" t="s">
        <v>462</v>
      </c>
      <c r="C22" s="124" t="s">
        <v>692</v>
      </c>
      <c r="D22" s="41" t="s">
        <v>34</v>
      </c>
      <c r="E22" s="41" t="s">
        <v>34</v>
      </c>
      <c r="F22" s="149">
        <f>SUM('4 lentelė'!U63:U66)/1000</f>
        <v>0</v>
      </c>
      <c r="G22" s="149">
        <f>SUM('4 lentelė'!V63:V66)/1000</f>
        <v>342.416</v>
      </c>
      <c r="H22" s="149">
        <f>SUM('4 lentelė'!W63:W66)/1000+G22</f>
        <v>555.149</v>
      </c>
      <c r="I22" s="123"/>
      <c r="J22" s="123"/>
    </row>
    <row r="23" spans="2:10" ht="24" x14ac:dyDescent="0.25">
      <c r="B23" s="41" t="s">
        <v>476</v>
      </c>
      <c r="C23" s="124" t="s">
        <v>693</v>
      </c>
      <c r="D23" s="41" t="s">
        <v>34</v>
      </c>
      <c r="E23" s="41" t="s">
        <v>34</v>
      </c>
      <c r="F23" s="149">
        <f>SUM('4 lentelė'!U68:U70)/1000</f>
        <v>0</v>
      </c>
      <c r="G23" s="149">
        <f>SUM('4 lentelė'!V68:V70)/1000</f>
        <v>0</v>
      </c>
      <c r="H23" s="149">
        <f>SUM('4 lentelė'!W68:W70)/1000</f>
        <v>693.24699999999996</v>
      </c>
      <c r="I23" s="123"/>
      <c r="J23" s="123"/>
    </row>
    <row r="24" spans="2:10" ht="15.75" x14ac:dyDescent="0.25">
      <c r="B24" s="41" t="s">
        <v>493</v>
      </c>
      <c r="C24" s="124" t="s">
        <v>694</v>
      </c>
      <c r="D24" s="126" t="s">
        <v>34</v>
      </c>
      <c r="E24" s="126" t="s">
        <v>34</v>
      </c>
      <c r="F24" s="149">
        <f>SUM('4 lentelė'!U73:U76)/1000</f>
        <v>0</v>
      </c>
      <c r="G24" s="149">
        <f>SUM('4 lentelė'!V73:V76)/1000</f>
        <v>0</v>
      </c>
      <c r="H24" s="149">
        <f>SUM('4 lentelė'!W73:W76)/1000</f>
        <v>422.54399999999998</v>
      </c>
      <c r="I24" s="123"/>
      <c r="J24" s="123"/>
    </row>
    <row r="25" spans="2:10" s="6" customFormat="1" ht="36" x14ac:dyDescent="0.25">
      <c r="B25" s="41" t="s">
        <v>710</v>
      </c>
      <c r="C25" s="124" t="s">
        <v>775</v>
      </c>
      <c r="D25" s="126" t="s">
        <v>34</v>
      </c>
      <c r="E25" s="126" t="s">
        <v>34</v>
      </c>
      <c r="F25" s="149">
        <f>SUM('4 lentelė'!U78:U81)/1000</f>
        <v>0</v>
      </c>
      <c r="G25" s="149">
        <f>SUM('4 lentelė'!V78:V81)/1000</f>
        <v>0</v>
      </c>
      <c r="H25" s="149">
        <f>SUM('4 lentelė'!W78:W81)/1000</f>
        <v>23.468</v>
      </c>
      <c r="I25" s="123"/>
      <c r="J25" s="123"/>
    </row>
    <row r="26" spans="2:10" s="6" customFormat="1" ht="24" x14ac:dyDescent="0.25">
      <c r="B26" s="308" t="s">
        <v>722</v>
      </c>
      <c r="C26" s="309" t="s">
        <v>774</v>
      </c>
      <c r="D26" s="126" t="s">
        <v>34</v>
      </c>
      <c r="E26" s="126" t="s">
        <v>34</v>
      </c>
      <c r="F26" s="149">
        <f>SUM('4 lentelė'!U83:U99)/1000</f>
        <v>0</v>
      </c>
      <c r="G26" s="149">
        <f>SUM('4 lentelė'!V83:V99)/1000</f>
        <v>0</v>
      </c>
      <c r="H26" s="149">
        <f>SUM('4 lentelė'!W83:W99)/1000</f>
        <v>0</v>
      </c>
      <c r="I26" s="123"/>
      <c r="J26" s="123"/>
    </row>
    <row r="27" spans="2:10" x14ac:dyDescent="0.25">
      <c r="B27" s="55" t="s">
        <v>706</v>
      </c>
      <c r="C27" s="124" t="s">
        <v>699</v>
      </c>
      <c r="D27" s="41" t="s">
        <v>34</v>
      </c>
      <c r="E27" s="41" t="s">
        <v>34</v>
      </c>
      <c r="F27" s="149">
        <f>SUM('4 lentelė'!U102:U105)/1000</f>
        <v>0</v>
      </c>
      <c r="G27" s="149">
        <f>SUM('4 lentelė'!V102:V105)/1000</f>
        <v>588.15099999999995</v>
      </c>
      <c r="H27" s="149">
        <f>SUM('4 lentelė'!W102:W105)/1000+G27</f>
        <v>588.15099999999995</v>
      </c>
      <c r="I27" s="123"/>
      <c r="J27" s="123"/>
    </row>
    <row r="28" spans="2:10" x14ac:dyDescent="0.25">
      <c r="B28" s="41" t="s">
        <v>540</v>
      </c>
      <c r="C28" s="124" t="s">
        <v>695</v>
      </c>
      <c r="D28" s="41" t="s">
        <v>34</v>
      </c>
      <c r="E28" s="41" t="s">
        <v>34</v>
      </c>
      <c r="F28" s="149">
        <f>SUM('4 lentelė'!U107:U110)/1000</f>
        <v>2148.12</v>
      </c>
      <c r="G28" s="149">
        <f>SUM('4 lentelė'!V107:V110)/1000+F28</f>
        <v>2148.12</v>
      </c>
      <c r="H28" s="149">
        <f>SUM('4 lentelė'!W107:W110)/1000+G28</f>
        <v>2148.12</v>
      </c>
      <c r="I28" s="123"/>
      <c r="J28" s="123"/>
    </row>
    <row r="29" spans="2:10" ht="24" x14ac:dyDescent="0.25">
      <c r="B29" s="41" t="s">
        <v>558</v>
      </c>
      <c r="C29" s="124" t="s">
        <v>700</v>
      </c>
      <c r="D29" s="41" t="s">
        <v>34</v>
      </c>
      <c r="E29" s="41" t="s">
        <v>34</v>
      </c>
      <c r="F29" s="149">
        <f>SUM('4 lentelė'!U114:U115)/1000</f>
        <v>0</v>
      </c>
      <c r="G29" s="149">
        <f>SUM('4 lentelė'!V114:V115)/1000</f>
        <v>0</v>
      </c>
      <c r="H29" s="149">
        <f>SUM('4 lentelė'!W114:W115)/1000</f>
        <v>433.5</v>
      </c>
      <c r="I29" s="123"/>
      <c r="J29" s="123"/>
    </row>
    <row r="30" spans="2:10" ht="36" x14ac:dyDescent="0.25">
      <c r="B30" s="93" t="s">
        <v>576</v>
      </c>
      <c r="C30" s="124" t="s">
        <v>682</v>
      </c>
      <c r="D30" s="41" t="s">
        <v>34</v>
      </c>
      <c r="E30" s="41" t="s">
        <v>34</v>
      </c>
      <c r="F30" s="149">
        <f>SUM('4 lentelė'!U120:U127)/1000</f>
        <v>1543.1862900000001</v>
      </c>
      <c r="G30" s="149">
        <f>SUM('4 lentelė'!V120:V127)/1000+F30</f>
        <v>4349.3207899999998</v>
      </c>
      <c r="H30" s="149">
        <f>SUM('4 lentelė'!W120:W127)/1000+G30</f>
        <v>4580.4978599999995</v>
      </c>
      <c r="I30" s="16"/>
      <c r="J30" s="16"/>
    </row>
    <row r="31" spans="2:10" x14ac:dyDescent="0.25">
      <c r="B31" s="93" t="s">
        <v>610</v>
      </c>
      <c r="C31" s="124" t="s">
        <v>683</v>
      </c>
      <c r="D31" s="41" t="s">
        <v>34</v>
      </c>
      <c r="E31" s="41" t="s">
        <v>34</v>
      </c>
      <c r="F31" s="149">
        <f>SUM('4 lentelė'!U129)/1000</f>
        <v>0</v>
      </c>
      <c r="G31" s="149">
        <f>SUM('4 lentelė'!V129)/1000</f>
        <v>1428.9405400000001</v>
      </c>
      <c r="H31" s="149">
        <f>SUM('4 lentelė'!W129)/1000+G31</f>
        <v>1428.9405400000001</v>
      </c>
      <c r="I31" s="16"/>
      <c r="J31" s="16"/>
    </row>
    <row r="32" spans="2:10" ht="24" x14ac:dyDescent="0.25">
      <c r="B32" s="41" t="s">
        <v>621</v>
      </c>
      <c r="C32" s="124" t="s">
        <v>701</v>
      </c>
      <c r="D32" s="41" t="s">
        <v>34</v>
      </c>
      <c r="E32" s="41" t="s">
        <v>34</v>
      </c>
      <c r="F32" s="149">
        <f>SUM('4 lentelė'!U132)/1000</f>
        <v>0</v>
      </c>
      <c r="G32" s="149">
        <f>SUM('4 lentelė'!V132)/1000</f>
        <v>2380.2176199999999</v>
      </c>
      <c r="H32" s="149">
        <f>SUM('4 lentelė'!W132)/1000+G32</f>
        <v>2380.2176199999999</v>
      </c>
      <c r="I32" s="16"/>
      <c r="J32" s="16"/>
    </row>
    <row r="33" spans="2:10" x14ac:dyDescent="0.25">
      <c r="B33" s="41" t="s">
        <v>630</v>
      </c>
      <c r="C33" s="124" t="s">
        <v>702</v>
      </c>
      <c r="D33" s="41" t="s">
        <v>34</v>
      </c>
      <c r="E33" s="41" t="s">
        <v>34</v>
      </c>
      <c r="F33" s="149">
        <f>SUM('4 lentelė'!U136:U142)/1000</f>
        <v>0</v>
      </c>
      <c r="G33" s="149">
        <f>SUM('4 lentelė'!V136:V142)/1000</f>
        <v>1008.9096299999999</v>
      </c>
      <c r="H33" s="149">
        <f>SUM('4 lentelė'!W136:W142)/1000+G33</f>
        <v>1008.9096299999999</v>
      </c>
      <c r="I33" s="16"/>
      <c r="J33" s="16"/>
    </row>
    <row r="34" spans="2:10" ht="23.25" customHeight="1" x14ac:dyDescent="0.25">
      <c r="B34" s="41"/>
      <c r="C34" s="124" t="s">
        <v>696</v>
      </c>
      <c r="D34" s="41" t="s">
        <v>34</v>
      </c>
      <c r="E34" s="41" t="s">
        <v>34</v>
      </c>
      <c r="F34" s="149">
        <f>SUM('4 lentelė'!U22)/1000</f>
        <v>0</v>
      </c>
      <c r="G34" s="149">
        <f>SUM('4 lentelė'!V22)/1000</f>
        <v>0</v>
      </c>
      <c r="H34" s="149">
        <f>SUM('4 lentelė'!W22)/1000</f>
        <v>0</v>
      </c>
      <c r="I34" s="150"/>
      <c r="J34" s="150"/>
    </row>
    <row r="35" spans="2:10" x14ac:dyDescent="0.25">
      <c r="B35" s="420" t="s">
        <v>23</v>
      </c>
      <c r="C35" s="421"/>
      <c r="D35" s="17">
        <f>SUM(D9:D34)</f>
        <v>0</v>
      </c>
      <c r="E35" s="17">
        <f t="shared" ref="E35:H35" si="0">SUM(E9:E34)</f>
        <v>0</v>
      </c>
      <c r="F35" s="239">
        <f t="shared" si="0"/>
        <v>4560.2062900000001</v>
      </c>
      <c r="G35" s="239">
        <f t="shared" si="0"/>
        <v>19447.452720000001</v>
      </c>
      <c r="H35" s="239">
        <f t="shared" si="0"/>
        <v>24851.433839999994</v>
      </c>
      <c r="I35" s="16"/>
      <c r="J35" s="16"/>
    </row>
  </sheetData>
  <mergeCells count="5">
    <mergeCell ref="B35:C35"/>
    <mergeCell ref="B6:J6"/>
    <mergeCell ref="D7:J7"/>
    <mergeCell ref="C7:C8"/>
    <mergeCell ref="B7:B8"/>
  </mergeCells>
  <pageMargins left="0" right="0" top="0" bottom="0" header="0" footer="0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6" zoomScaleNormal="100" workbookViewId="0">
      <selection activeCell="E46" sqref="E46"/>
    </sheetView>
  </sheetViews>
  <sheetFormatPr defaultRowHeight="15" x14ac:dyDescent="0.25"/>
  <cols>
    <col min="1" max="1" width="4.140625" style="6" customWidth="1"/>
    <col min="2" max="2" width="9.140625" style="12"/>
    <col min="3" max="3" width="72" customWidth="1"/>
    <col min="4" max="4" width="28" customWidth="1"/>
    <col min="5" max="5" width="29" customWidth="1"/>
  </cols>
  <sheetData>
    <row r="1" spans="2:8" ht="15.75" x14ac:dyDescent="0.25">
      <c r="E1" s="109" t="s">
        <v>120</v>
      </c>
      <c r="F1" s="109"/>
      <c r="G1" s="109"/>
      <c r="H1" s="109"/>
    </row>
    <row r="2" spans="2:8" ht="15.75" x14ac:dyDescent="0.25">
      <c r="E2" s="109" t="s">
        <v>0</v>
      </c>
      <c r="F2" s="109"/>
      <c r="G2" s="109"/>
      <c r="H2" s="109"/>
    </row>
    <row r="3" spans="2:8" ht="15.75" x14ac:dyDescent="0.25">
      <c r="E3" s="109" t="s">
        <v>12</v>
      </c>
      <c r="F3" s="109"/>
      <c r="G3" s="109"/>
      <c r="H3" s="109"/>
    </row>
    <row r="6" spans="2:8" ht="15.75" x14ac:dyDescent="0.25">
      <c r="B6" s="424" t="s">
        <v>58</v>
      </c>
      <c r="C6" s="424"/>
      <c r="D6" s="424"/>
      <c r="E6" s="424"/>
    </row>
    <row r="7" spans="2:8" ht="38.25" x14ac:dyDescent="0.25">
      <c r="B7" s="15" t="s">
        <v>1</v>
      </c>
      <c r="C7" s="15" t="s">
        <v>5</v>
      </c>
      <c r="D7" s="15" t="s">
        <v>59</v>
      </c>
      <c r="E7" s="15" t="s">
        <v>60</v>
      </c>
    </row>
    <row r="8" spans="2:8" ht="15.75" x14ac:dyDescent="0.25">
      <c r="B8" s="18">
        <v>1</v>
      </c>
      <c r="C8" s="19" t="s">
        <v>61</v>
      </c>
      <c r="D8" s="179" t="s">
        <v>34</v>
      </c>
      <c r="E8" s="126" t="s">
        <v>34</v>
      </c>
    </row>
    <row r="9" spans="2:8" ht="15.75" x14ac:dyDescent="0.25">
      <c r="B9" s="18">
        <v>2</v>
      </c>
      <c r="C9" s="19" t="s">
        <v>62</v>
      </c>
      <c r="D9" s="179" t="s">
        <v>34</v>
      </c>
      <c r="E9" s="126" t="s">
        <v>34</v>
      </c>
    </row>
    <row r="10" spans="2:8" ht="15.75" x14ac:dyDescent="0.25">
      <c r="B10" s="18">
        <v>3</v>
      </c>
      <c r="C10" s="19" t="s">
        <v>63</v>
      </c>
      <c r="D10" s="179" t="s">
        <v>34</v>
      </c>
      <c r="E10" s="126" t="s">
        <v>34</v>
      </c>
    </row>
    <row r="11" spans="2:8" ht="15.75" x14ac:dyDescent="0.25">
      <c r="B11" s="18">
        <v>4</v>
      </c>
      <c r="C11" s="19" t="s">
        <v>64</v>
      </c>
      <c r="D11" s="179" t="s">
        <v>34</v>
      </c>
      <c r="E11" s="126" t="s">
        <v>34</v>
      </c>
    </row>
    <row r="12" spans="2:8" ht="15.75" x14ac:dyDescent="0.25">
      <c r="B12" s="18">
        <v>5</v>
      </c>
      <c r="C12" s="19" t="s">
        <v>65</v>
      </c>
      <c r="D12" s="179" t="s">
        <v>34</v>
      </c>
      <c r="E12" s="126" t="s">
        <v>34</v>
      </c>
    </row>
    <row r="13" spans="2:8" ht="15.75" x14ac:dyDescent="0.25">
      <c r="B13" s="18">
        <v>6</v>
      </c>
      <c r="C13" s="19" t="s">
        <v>66</v>
      </c>
      <c r="D13" s="179" t="s">
        <v>34</v>
      </c>
      <c r="E13" s="126" t="s">
        <v>34</v>
      </c>
    </row>
    <row r="14" spans="2:8" ht="15.75" x14ac:dyDescent="0.25">
      <c r="B14" s="18">
        <v>7</v>
      </c>
      <c r="C14" s="19" t="s">
        <v>67</v>
      </c>
      <c r="D14" s="179" t="s">
        <v>34</v>
      </c>
      <c r="E14" s="126" t="s">
        <v>34</v>
      </c>
    </row>
    <row r="15" spans="2:8" ht="15.75" x14ac:dyDescent="0.25">
      <c r="B15" s="18">
        <v>8</v>
      </c>
      <c r="C15" s="19" t="s">
        <v>68</v>
      </c>
      <c r="D15" s="179" t="s">
        <v>34</v>
      </c>
      <c r="E15" s="126" t="s">
        <v>34</v>
      </c>
    </row>
    <row r="16" spans="2:8" ht="15.75" x14ac:dyDescent="0.25">
      <c r="B16" s="18">
        <v>9</v>
      </c>
      <c r="C16" s="19" t="s">
        <v>69</v>
      </c>
      <c r="D16" s="179" t="s">
        <v>34</v>
      </c>
      <c r="E16" s="126" t="s">
        <v>34</v>
      </c>
    </row>
    <row r="17" spans="2:5" ht="15.75" x14ac:dyDescent="0.25">
      <c r="B17" s="18">
        <v>10</v>
      </c>
      <c r="C17" s="19" t="s">
        <v>70</v>
      </c>
      <c r="D17" s="179" t="s">
        <v>34</v>
      </c>
      <c r="E17" s="126" t="s">
        <v>34</v>
      </c>
    </row>
    <row r="18" spans="2:5" ht="15.75" x14ac:dyDescent="0.25">
      <c r="B18" s="18">
        <v>11</v>
      </c>
      <c r="C18" s="19" t="s">
        <v>71</v>
      </c>
      <c r="D18" s="179" t="s">
        <v>34</v>
      </c>
      <c r="E18" s="126" t="s">
        <v>34</v>
      </c>
    </row>
    <row r="19" spans="2:5" ht="15.75" x14ac:dyDescent="0.25">
      <c r="B19" s="18">
        <v>12</v>
      </c>
      <c r="C19" s="19" t="s">
        <v>72</v>
      </c>
      <c r="D19" s="179" t="s">
        <v>34</v>
      </c>
      <c r="E19" s="126" t="s">
        <v>34</v>
      </c>
    </row>
    <row r="20" spans="2:5" ht="15.75" x14ac:dyDescent="0.25">
      <c r="B20" s="18">
        <v>13</v>
      </c>
      <c r="C20" s="19" t="s">
        <v>73</v>
      </c>
      <c r="D20" s="179" t="s">
        <v>34</v>
      </c>
      <c r="E20" s="126" t="s">
        <v>34</v>
      </c>
    </row>
    <row r="21" spans="2:5" ht="15.75" x14ac:dyDescent="0.25">
      <c r="B21" s="18">
        <v>14</v>
      </c>
      <c r="C21" s="19" t="s">
        <v>74</v>
      </c>
      <c r="D21" s="179" t="s">
        <v>34</v>
      </c>
      <c r="E21" s="126" t="s">
        <v>34</v>
      </c>
    </row>
    <row r="22" spans="2:5" ht="15.75" x14ac:dyDescent="0.25">
      <c r="B22" s="18">
        <v>15</v>
      </c>
      <c r="C22" s="19" t="s">
        <v>75</v>
      </c>
      <c r="D22" s="179" t="s">
        <v>34</v>
      </c>
      <c r="E22" s="126" t="s">
        <v>34</v>
      </c>
    </row>
    <row r="23" spans="2:5" ht="15.75" x14ac:dyDescent="0.25">
      <c r="B23" s="18">
        <v>16</v>
      </c>
      <c r="C23" s="19" t="s">
        <v>76</v>
      </c>
      <c r="D23" s="179" t="s">
        <v>34</v>
      </c>
      <c r="E23" s="126" t="s">
        <v>34</v>
      </c>
    </row>
    <row r="24" spans="2:5" ht="15.75" x14ac:dyDescent="0.25">
      <c r="B24" s="18">
        <v>17</v>
      </c>
      <c r="C24" s="19" t="s">
        <v>77</v>
      </c>
      <c r="D24" s="179" t="s">
        <v>34</v>
      </c>
      <c r="E24" s="126" t="s">
        <v>34</v>
      </c>
    </row>
    <row r="25" spans="2:5" ht="15.75" x14ac:dyDescent="0.25">
      <c r="B25" s="18">
        <v>18</v>
      </c>
      <c r="C25" s="19" t="s">
        <v>78</v>
      </c>
      <c r="D25" s="179" t="s">
        <v>34</v>
      </c>
      <c r="E25" s="126" t="s">
        <v>34</v>
      </c>
    </row>
    <row r="26" spans="2:5" ht="45" x14ac:dyDescent="0.25">
      <c r="B26" s="18">
        <v>19</v>
      </c>
      <c r="C26" s="20" t="s">
        <v>116</v>
      </c>
      <c r="D26" s="180">
        <f>('7 lentelė'!AA40)</f>
        <v>1</v>
      </c>
      <c r="E26" s="311">
        <f>('7 lentelė'!K40)</f>
        <v>139304.47</v>
      </c>
    </row>
    <row r="27" spans="2:5" ht="15.75" x14ac:dyDescent="0.25">
      <c r="B27" s="18">
        <v>20</v>
      </c>
      <c r="C27" s="19" t="s">
        <v>79</v>
      </c>
      <c r="D27" s="179" t="s">
        <v>34</v>
      </c>
      <c r="E27" s="126" t="s">
        <v>34</v>
      </c>
    </row>
    <row r="28" spans="2:5" ht="15.75" x14ac:dyDescent="0.25">
      <c r="B28" s="18">
        <v>21</v>
      </c>
      <c r="C28" s="19" t="s">
        <v>80</v>
      </c>
      <c r="D28" s="179" t="s">
        <v>34</v>
      </c>
      <c r="E28" s="126" t="s">
        <v>34</v>
      </c>
    </row>
    <row r="29" spans="2:5" ht="15.75" x14ac:dyDescent="0.25">
      <c r="B29" s="18">
        <v>22</v>
      </c>
      <c r="C29" s="19" t="s">
        <v>81</v>
      </c>
      <c r="D29" s="179" t="s">
        <v>34</v>
      </c>
      <c r="E29" s="126" t="s">
        <v>34</v>
      </c>
    </row>
    <row r="30" spans="2:5" ht="15.75" x14ac:dyDescent="0.25">
      <c r="B30" s="18">
        <v>23</v>
      </c>
      <c r="C30" s="19" t="s">
        <v>82</v>
      </c>
      <c r="D30" s="179" t="s">
        <v>34</v>
      </c>
      <c r="E30" s="126" t="s">
        <v>34</v>
      </c>
    </row>
    <row r="31" spans="2:5" ht="15.75" x14ac:dyDescent="0.25">
      <c r="B31" s="18">
        <v>24</v>
      </c>
      <c r="C31" s="19" t="s">
        <v>83</v>
      </c>
      <c r="D31" s="179" t="s">
        <v>34</v>
      </c>
      <c r="E31" s="126" t="s">
        <v>34</v>
      </c>
    </row>
    <row r="32" spans="2:5" ht="15.75" x14ac:dyDescent="0.25">
      <c r="B32" s="18">
        <v>25</v>
      </c>
      <c r="C32" s="19" t="s">
        <v>84</v>
      </c>
      <c r="D32" s="179" t="s">
        <v>34</v>
      </c>
      <c r="E32" s="126" t="s">
        <v>34</v>
      </c>
    </row>
    <row r="33" spans="2:5" ht="15.75" x14ac:dyDescent="0.25">
      <c r="B33" s="18">
        <v>26</v>
      </c>
      <c r="C33" s="19" t="s">
        <v>85</v>
      </c>
      <c r="D33" s="179" t="s">
        <v>34</v>
      </c>
      <c r="E33" s="126" t="s">
        <v>34</v>
      </c>
    </row>
    <row r="34" spans="2:5" ht="15.75" x14ac:dyDescent="0.25">
      <c r="B34" s="18">
        <v>27</v>
      </c>
      <c r="C34" s="19" t="s">
        <v>86</v>
      </c>
      <c r="D34" s="180">
        <f>('7 lentelė'!AA104)</f>
        <v>1</v>
      </c>
      <c r="E34" s="311">
        <f>('7 lentelė'!K104)</f>
        <v>65250</v>
      </c>
    </row>
    <row r="35" spans="2:5" ht="30" x14ac:dyDescent="0.25">
      <c r="B35" s="18">
        <v>28</v>
      </c>
      <c r="C35" s="21" t="s">
        <v>87</v>
      </c>
      <c r="D35" s="179" t="s">
        <v>34</v>
      </c>
      <c r="E35" s="126" t="s">
        <v>34</v>
      </c>
    </row>
    <row r="36" spans="2:5" ht="30" x14ac:dyDescent="0.25">
      <c r="B36" s="18">
        <v>29</v>
      </c>
      <c r="C36" s="21" t="s">
        <v>88</v>
      </c>
      <c r="D36" s="179" t="s">
        <v>34</v>
      </c>
      <c r="E36" s="126" t="s">
        <v>34</v>
      </c>
    </row>
    <row r="37" spans="2:5" ht="30" x14ac:dyDescent="0.25">
      <c r="B37" s="18">
        <v>30</v>
      </c>
      <c r="C37" s="21" t="s">
        <v>89</v>
      </c>
      <c r="D37" s="179" t="s">
        <v>34</v>
      </c>
      <c r="E37" s="126" t="s">
        <v>34</v>
      </c>
    </row>
    <row r="38" spans="2:5" ht="30" x14ac:dyDescent="0.25">
      <c r="B38" s="18">
        <v>31</v>
      </c>
      <c r="C38" s="21" t="s">
        <v>90</v>
      </c>
      <c r="D38" s="179" t="s">
        <v>34</v>
      </c>
      <c r="E38" s="126" t="s">
        <v>34</v>
      </c>
    </row>
    <row r="39" spans="2:5" ht="30" x14ac:dyDescent="0.25">
      <c r="B39" s="18">
        <v>32</v>
      </c>
      <c r="C39" s="21" t="s">
        <v>91</v>
      </c>
      <c r="D39" s="179" t="s">
        <v>34</v>
      </c>
      <c r="E39" s="126" t="s">
        <v>34</v>
      </c>
    </row>
    <row r="40" spans="2:5" ht="30" x14ac:dyDescent="0.25">
      <c r="B40" s="18">
        <v>33</v>
      </c>
      <c r="C40" s="21" t="s">
        <v>92</v>
      </c>
      <c r="D40" s="179" t="s">
        <v>34</v>
      </c>
      <c r="E40" s="126" t="s">
        <v>34</v>
      </c>
    </row>
    <row r="41" spans="2:5" ht="30" x14ac:dyDescent="0.25">
      <c r="B41" s="18">
        <v>34</v>
      </c>
      <c r="C41" s="20" t="s">
        <v>93</v>
      </c>
      <c r="D41" s="179" t="s">
        <v>34</v>
      </c>
      <c r="E41" s="126" t="s">
        <v>34</v>
      </c>
    </row>
    <row r="42" spans="2:5" ht="15.75" x14ac:dyDescent="0.25">
      <c r="B42" s="18">
        <v>35</v>
      </c>
      <c r="C42" s="21" t="s">
        <v>94</v>
      </c>
      <c r="D42" s="179" t="s">
        <v>34</v>
      </c>
      <c r="E42" s="126" t="s">
        <v>34</v>
      </c>
    </row>
    <row r="43" spans="2:5" ht="15.75" x14ac:dyDescent="0.25">
      <c r="B43" s="18">
        <v>36</v>
      </c>
      <c r="C43" s="19" t="s">
        <v>95</v>
      </c>
      <c r="D43" s="179" t="s">
        <v>34</v>
      </c>
      <c r="E43" s="126" t="s">
        <v>34</v>
      </c>
    </row>
    <row r="44" spans="2:5" ht="15.75" x14ac:dyDescent="0.25">
      <c r="B44" s="18">
        <v>37</v>
      </c>
      <c r="C44" s="19" t="s">
        <v>96</v>
      </c>
      <c r="D44" s="179" t="s">
        <v>34</v>
      </c>
      <c r="E44" s="126" t="s">
        <v>34</v>
      </c>
    </row>
    <row r="45" spans="2:5" ht="15.75" x14ac:dyDescent="0.25">
      <c r="B45" s="18">
        <v>38</v>
      </c>
      <c r="C45" s="19" t="s">
        <v>97</v>
      </c>
      <c r="D45" s="180">
        <f>('7 lentelė'!AA138)</f>
        <v>1</v>
      </c>
      <c r="E45" s="311">
        <f>('7 lentelė'!K138)</f>
        <v>53554.71</v>
      </c>
    </row>
    <row r="46" spans="2:5" ht="15.75" x14ac:dyDescent="0.25">
      <c r="B46" s="18">
        <v>39</v>
      </c>
      <c r="C46" s="19" t="s">
        <v>112</v>
      </c>
      <c r="D46" s="179" t="s">
        <v>34</v>
      </c>
      <c r="E46" s="126" t="s">
        <v>34</v>
      </c>
    </row>
    <row r="47" spans="2:5" ht="15.75" x14ac:dyDescent="0.25">
      <c r="B47" s="18">
        <v>40</v>
      </c>
      <c r="C47" s="19" t="s">
        <v>98</v>
      </c>
      <c r="D47" s="179" t="s">
        <v>34</v>
      </c>
      <c r="E47" s="126" t="s">
        <v>34</v>
      </c>
    </row>
    <row r="48" spans="2:5" ht="15.75" x14ac:dyDescent="0.25">
      <c r="B48" s="18">
        <v>41</v>
      </c>
      <c r="C48" s="19" t="s">
        <v>99</v>
      </c>
      <c r="D48" s="179" t="s">
        <v>34</v>
      </c>
      <c r="E48" s="126" t="s">
        <v>34</v>
      </c>
    </row>
    <row r="49" spans="2:5" ht="15.75" x14ac:dyDescent="0.25">
      <c r="B49" s="18">
        <v>42</v>
      </c>
      <c r="C49" s="19" t="s">
        <v>100</v>
      </c>
      <c r="D49" s="179" t="s">
        <v>34</v>
      </c>
      <c r="E49" s="126" t="s">
        <v>34</v>
      </c>
    </row>
    <row r="50" spans="2:5" ht="15.75" x14ac:dyDescent="0.25">
      <c r="B50" s="18">
        <v>43</v>
      </c>
      <c r="C50" s="19" t="s">
        <v>101</v>
      </c>
      <c r="D50" s="179" t="s">
        <v>34</v>
      </c>
      <c r="E50" s="126" t="s">
        <v>34</v>
      </c>
    </row>
    <row r="51" spans="2:5" ht="15.75" x14ac:dyDescent="0.25">
      <c r="B51" s="18">
        <v>44</v>
      </c>
      <c r="C51" s="19" t="s">
        <v>102</v>
      </c>
      <c r="D51" s="179" t="s">
        <v>34</v>
      </c>
      <c r="E51" s="126" t="s">
        <v>34</v>
      </c>
    </row>
    <row r="52" spans="2:5" ht="15.75" x14ac:dyDescent="0.25">
      <c r="B52" s="18">
        <v>45</v>
      </c>
      <c r="C52" s="19" t="s">
        <v>103</v>
      </c>
      <c r="D52" s="179" t="s">
        <v>34</v>
      </c>
      <c r="E52" s="126" t="s">
        <v>34</v>
      </c>
    </row>
    <row r="53" spans="2:5" ht="15.75" x14ac:dyDescent="0.25">
      <c r="B53" s="18">
        <v>46</v>
      </c>
      <c r="C53" s="19" t="s">
        <v>104</v>
      </c>
      <c r="D53" s="179" t="s">
        <v>34</v>
      </c>
      <c r="E53" s="126" t="s">
        <v>34</v>
      </c>
    </row>
    <row r="54" spans="2:5" ht="15.75" x14ac:dyDescent="0.25">
      <c r="B54" s="18">
        <v>47</v>
      </c>
      <c r="C54" s="19" t="s">
        <v>105</v>
      </c>
      <c r="D54" s="179" t="s">
        <v>34</v>
      </c>
      <c r="E54" s="126" t="s">
        <v>34</v>
      </c>
    </row>
    <row r="55" spans="2:5" ht="15.75" x14ac:dyDescent="0.25">
      <c r="B55" s="18">
        <v>48</v>
      </c>
      <c r="C55" s="19" t="s">
        <v>106</v>
      </c>
      <c r="D55" s="179" t="s">
        <v>34</v>
      </c>
      <c r="E55" s="126" t="s">
        <v>34</v>
      </c>
    </row>
    <row r="56" spans="2:5" ht="15.75" x14ac:dyDescent="0.25">
      <c r="B56" s="18">
        <v>49</v>
      </c>
      <c r="C56" s="19" t="s">
        <v>107</v>
      </c>
      <c r="D56" s="179" t="s">
        <v>34</v>
      </c>
      <c r="E56" s="126" t="s">
        <v>34</v>
      </c>
    </row>
    <row r="57" spans="2:5" ht="15.75" x14ac:dyDescent="0.25">
      <c r="B57" s="18">
        <v>50</v>
      </c>
      <c r="C57" s="19" t="s">
        <v>108</v>
      </c>
      <c r="D57" s="180">
        <f>('7 lentelė'!AA35)</f>
        <v>1</v>
      </c>
      <c r="E57" s="311">
        <f>('7 lentelė'!K35)</f>
        <v>11900</v>
      </c>
    </row>
    <row r="58" spans="2:5" ht="30" x14ac:dyDescent="0.25">
      <c r="B58" s="18">
        <v>51</v>
      </c>
      <c r="C58" s="21" t="s">
        <v>109</v>
      </c>
      <c r="D58" s="179" t="s">
        <v>34</v>
      </c>
      <c r="E58" s="126" t="s">
        <v>34</v>
      </c>
    </row>
    <row r="59" spans="2:5" ht="30" x14ac:dyDescent="0.25">
      <c r="B59" s="18">
        <v>52</v>
      </c>
      <c r="C59" s="21" t="s">
        <v>110</v>
      </c>
      <c r="D59" s="179" t="s">
        <v>34</v>
      </c>
      <c r="E59" s="126" t="s">
        <v>34</v>
      </c>
    </row>
  </sheetData>
  <mergeCells count="1">
    <mergeCell ref="B6:E6"/>
  </mergeCells>
  <pageMargins left="0" right="0" top="0" bottom="0" header="0" footer="0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11</vt:i4>
      </vt:variant>
      <vt:variant>
        <vt:lpstr>Įvardinti diapazonai</vt:lpstr>
      </vt:variant>
      <vt:variant>
        <vt:i4>7</vt:i4>
      </vt:variant>
    </vt:vector>
  </HeadingPairs>
  <TitlesOfParts>
    <vt:vector size="18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  <vt:lpstr>8 lentelė</vt:lpstr>
      <vt:lpstr>9 lentelė</vt:lpstr>
      <vt:lpstr>10 lentelė</vt:lpstr>
      <vt:lpstr>Lapas8</vt:lpstr>
      <vt:lpstr>'1 lentelė'!Print_Area</vt:lpstr>
      <vt:lpstr>'10 lentelė'!Print_Area</vt:lpstr>
      <vt:lpstr>'2 lentelė'!Print_Area</vt:lpstr>
      <vt:lpstr>'6 lentelė'!Print_Area</vt:lpstr>
      <vt:lpstr>'7 lentelė'!Print_Area</vt:lpstr>
      <vt:lpstr>'8 lentelė'!Print_Area</vt:lpstr>
      <vt:lpstr>'9 lentelė'!Print_Area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Giedrė Andriuškevičė</dc:creator>
  <cp:lastModifiedBy>RPD Asta</cp:lastModifiedBy>
  <cp:lastPrinted>2018-06-28T07:25:31Z</cp:lastPrinted>
  <dcterms:created xsi:type="dcterms:W3CDTF">2017-11-23T09:10:18Z</dcterms:created>
  <dcterms:modified xsi:type="dcterms:W3CDTF">2020-06-29T13:27:07Z</dcterms:modified>
</cp:coreProperties>
</file>